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Lippmann\Desktop\VersandKompasHalle\"/>
    </mc:Choice>
  </mc:AlternateContent>
  <xr:revisionPtr revIDLastSave="0" documentId="13_ncr:1_{7A8F6737-B741-4F8E-B58D-436D729A4D15}" xr6:coauthVersionLast="47" xr6:coauthVersionMax="47" xr10:uidLastSave="{00000000-0000-0000-0000-000000000000}"/>
  <bookViews>
    <workbookView xWindow="-103" yWindow="-103" windowWidth="35314" windowHeight="18720" activeTab="2" xr2:uid="{00000000-000D-0000-FFFF-FFFF00000000}"/>
  </bookViews>
  <sheets>
    <sheet name="Start" sheetId="1" r:id="rId1"/>
    <sheet name="Investitionen" sheetId="2" r:id="rId2"/>
    <sheet name="Abrechnung" sheetId="6" r:id="rId3"/>
    <sheet name="BWA" sheetId="8" r:id="rId4"/>
    <sheet name="Darlehen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1" l="1"/>
  <c r="B15" i="6"/>
  <c r="B12" i="6" l="1"/>
  <c r="A6" i="7" l="1"/>
  <c r="A5" i="7"/>
  <c r="A4" i="7"/>
  <c r="A14" i="7" s="1"/>
  <c r="A3" i="7"/>
  <c r="A1" i="7"/>
  <c r="E12" i="7" s="1"/>
  <c r="B30" i="8"/>
  <c r="C30" i="8"/>
  <c r="C19" i="8"/>
  <c r="D19" i="8" s="1"/>
  <c r="C21" i="8"/>
  <c r="D21" i="8"/>
  <c r="C22" i="8"/>
  <c r="D22" i="8" s="1"/>
  <c r="C24" i="8"/>
  <c r="D24" i="8"/>
  <c r="I7" i="7"/>
  <c r="I8" i="7" s="1"/>
  <c r="B20" i="8" s="1"/>
  <c r="C20" i="8" s="1"/>
  <c r="D20" i="8" s="1"/>
  <c r="B4" i="6"/>
  <c r="B18" i="6" s="1"/>
  <c r="B20" i="6" s="1"/>
  <c r="C9" i="8" s="1"/>
  <c r="C36" i="2"/>
  <c r="D36" i="2"/>
  <c r="C37" i="2"/>
  <c r="C34" i="2"/>
  <c r="C33" i="2"/>
  <c r="D33" i="2"/>
  <c r="C32" i="2"/>
  <c r="D32" i="2" s="1"/>
  <c r="C31" i="2"/>
  <c r="C30" i="2"/>
  <c r="C29" i="2"/>
  <c r="D29" i="2" s="1"/>
  <c r="C27" i="2"/>
  <c r="D27" i="2"/>
  <c r="C26" i="2"/>
  <c r="J50" i="1"/>
  <c r="K50" i="1" s="1"/>
  <c r="B18" i="1"/>
  <c r="B12" i="2"/>
  <c r="B18" i="8" s="1"/>
  <c r="C18" i="8" s="1"/>
  <c r="D18" i="8" s="1"/>
  <c r="D17" i="2"/>
  <c r="D18" i="2"/>
  <c r="D41" i="2" s="1"/>
  <c r="D19" i="2"/>
  <c r="D20" i="2"/>
  <c r="D21" i="2"/>
  <c r="D24" i="2"/>
  <c r="C25" i="2"/>
  <c r="D25" i="2"/>
  <c r="D35" i="2"/>
  <c r="D46" i="2"/>
  <c r="D52" i="2" s="1"/>
  <c r="D48" i="2"/>
  <c r="D60" i="2"/>
  <c r="C34" i="1"/>
  <c r="D34" i="1"/>
  <c r="F34" i="1" s="1"/>
  <c r="C37" i="1"/>
  <c r="D37" i="1" s="1"/>
  <c r="F37" i="1" s="1"/>
  <c r="C44" i="1"/>
  <c r="D44" i="1" s="1"/>
  <c r="F44" i="1" s="1"/>
  <c r="C51" i="1"/>
  <c r="D51" i="1" s="1"/>
  <c r="F51" i="1" s="1"/>
  <c r="E51" i="1"/>
  <c r="C56" i="1"/>
  <c r="D56" i="1" s="1"/>
  <c r="F56" i="1" s="1"/>
  <c r="B10" i="1"/>
  <c r="D22" i="2"/>
  <c r="C23" i="2"/>
  <c r="D23" i="2" s="1"/>
  <c r="D26" i="2"/>
  <c r="D31" i="2"/>
  <c r="D34" i="2"/>
  <c r="D28" i="2"/>
  <c r="D30" i="2"/>
  <c r="F50" i="2"/>
  <c r="C52" i="1"/>
  <c r="D52" i="1" s="1"/>
  <c r="E52" i="1"/>
  <c r="C50" i="1"/>
  <c r="D50" i="1" s="1"/>
  <c r="E50" i="1"/>
  <c r="C46" i="1"/>
  <c r="D46" i="1" s="1"/>
  <c r="F46" i="1" s="1"/>
  <c r="C45" i="1"/>
  <c r="D45" i="1" s="1"/>
  <c r="F45" i="1" s="1"/>
  <c r="C43" i="1"/>
  <c r="D43" i="1" s="1"/>
  <c r="F43" i="1" s="1"/>
  <c r="C35" i="1"/>
  <c r="D35" i="1" s="1"/>
  <c r="F35" i="1" s="1"/>
  <c r="C33" i="1"/>
  <c r="D33" i="1" s="1"/>
  <c r="F33" i="1" s="1"/>
  <c r="A15" i="7" l="1"/>
  <c r="D14" i="7"/>
  <c r="B13" i="7"/>
  <c r="D17" i="8" s="1"/>
  <c r="D39" i="2"/>
  <c r="D62" i="2" s="1"/>
  <c r="D13" i="7"/>
  <c r="F50" i="1"/>
  <c r="F52" i="1"/>
  <c r="B23" i="6"/>
  <c r="B25" i="6" s="1"/>
  <c r="A61" i="1"/>
  <c r="B63" i="1" s="1"/>
  <c r="B16" i="8" s="1"/>
  <c r="C16" i="8" s="1"/>
  <c r="D16" i="8" s="1"/>
  <c r="D54" i="2"/>
  <c r="D64" i="2" s="1"/>
  <c r="D9" i="8"/>
  <c r="C10" i="8" l="1"/>
  <c r="D10" i="8" s="1"/>
  <c r="D12" i="8" s="1"/>
  <c r="B23" i="8"/>
  <c r="C23" i="8" s="1"/>
  <c r="D23" i="8" s="1"/>
  <c r="C17" i="8"/>
  <c r="B17" i="8"/>
  <c r="A16" i="7"/>
  <c r="D15" i="7"/>
  <c r="C13" i="7"/>
  <c r="B33" i="8"/>
  <c r="C33" i="8" s="1"/>
  <c r="D33" i="8" s="1"/>
  <c r="B9" i="8"/>
  <c r="C12" i="8" l="1"/>
  <c r="B10" i="8"/>
  <c r="B12" i="8" s="1"/>
  <c r="D34" i="8"/>
  <c r="E13" i="7"/>
  <c r="B26" i="8"/>
  <c r="C26" i="8" s="1"/>
  <c r="D26" i="8" s="1"/>
  <c r="A17" i="7"/>
  <c r="D16" i="7"/>
  <c r="B14" i="7" l="1"/>
  <c r="C14" i="7" s="1"/>
  <c r="E14" i="7"/>
  <c r="B28" i="8"/>
  <c r="C28" i="8" s="1"/>
  <c r="D28" i="8" s="1"/>
  <c r="A18" i="7"/>
  <c r="D17" i="7"/>
  <c r="C34" i="8"/>
  <c r="B34" i="8"/>
  <c r="B36" i="8" l="1"/>
  <c r="C36" i="8" s="1"/>
  <c r="D36" i="8" s="1"/>
  <c r="B15" i="7"/>
  <c r="C15" i="7" s="1"/>
  <c r="E15" i="7"/>
  <c r="D18" i="7"/>
  <c r="A19" i="7"/>
  <c r="D19" i="7" l="1"/>
  <c r="A20" i="7"/>
  <c r="B16" i="7"/>
  <c r="C16" i="7" s="1"/>
  <c r="E16" i="7"/>
  <c r="B17" i="7" l="1"/>
  <c r="C17" i="7" s="1"/>
  <c r="E17" i="7"/>
  <c r="D20" i="7"/>
  <c r="A21" i="7"/>
  <c r="A22" i="7" l="1"/>
  <c r="D21" i="7"/>
  <c r="B18" i="7"/>
  <c r="C18" i="7" s="1"/>
  <c r="E18" i="7" s="1"/>
  <c r="B19" i="7" l="1"/>
  <c r="C19" i="7" s="1"/>
  <c r="E19" i="7"/>
  <c r="D22" i="7"/>
  <c r="B20" i="7" l="1"/>
  <c r="C20" i="7" s="1"/>
  <c r="E20" i="7" s="1"/>
  <c r="B21" i="7" l="1"/>
  <c r="C21" i="7" s="1"/>
  <c r="E21" i="7"/>
  <c r="B22" i="7" l="1"/>
  <c r="C22" i="7" s="1"/>
  <c r="E22" i="7" s="1"/>
</calcChain>
</file>

<file path=xl/sharedStrings.xml><?xml version="1.0" encoding="utf-8"?>
<sst xmlns="http://schemas.openxmlformats.org/spreadsheetml/2006/main" count="194" uniqueCount="178">
  <si>
    <t>AN-Brutto</t>
  </si>
  <si>
    <t>AG-Anteil</t>
  </si>
  <si>
    <t>Summe/Monat</t>
  </si>
  <si>
    <t>Summe/Jahr</t>
  </si>
  <si>
    <t>1. Fachärzte (Entgeltgruppe 2)</t>
  </si>
  <si>
    <t xml:space="preserve">Stufe 1 (1.-4. Jahr) </t>
  </si>
  <si>
    <t>Stufe 2 (5.-7. Jahr)</t>
  </si>
  <si>
    <t>Stufe 3 (ab 8. Jahr)</t>
  </si>
  <si>
    <t>Stufe 1 (1. Jahr)</t>
  </si>
  <si>
    <t>Stufe 2 (2.-3. Jahr)</t>
  </si>
  <si>
    <t>Stufe 3 (4. Jahr)</t>
  </si>
  <si>
    <t>Stufe 4 (ab 5. Jahr)</t>
  </si>
  <si>
    <t>3. Arzthelferinnen (Entgeltgruppe 3)</t>
  </si>
  <si>
    <t>Stufe 1 (ohne Berufserfahrung)</t>
  </si>
  <si>
    <t>Stufe 2 (1-2 J Berufserf.)</t>
  </si>
  <si>
    <t>Stufe 3 (ab 3 J. Berufserf.)</t>
  </si>
  <si>
    <t>Weihnachtsgeld</t>
  </si>
  <si>
    <t>entfällt</t>
  </si>
  <si>
    <t>4. Reinigungskraft (450 €-Basis)</t>
  </si>
  <si>
    <t>Belastungs-EKG</t>
  </si>
  <si>
    <t>Titel</t>
  </si>
  <si>
    <t>Preis</t>
  </si>
  <si>
    <t>Stück</t>
  </si>
  <si>
    <t>Die Entlohnung im UKL-MVZ erfolgt in gesonderten Verträgen, die Konditionen lehnen sich an den UKL-Haustarif an. Im MVZ gibt es keine WB-Befugten Ärzte, weil die SLÄK die Bedingungen im MVZ nicht für die ambulante Weiterbildung als ausreichend anerkennt. Daher gibt es auch keine durch die KVS geförderten WB-Assistenten, es sind nur FÄ angestellt, die im Regelfall noch halbtags stationär im UKL arbeiten.</t>
  </si>
  <si>
    <t>entspricht je Monat:</t>
  </si>
  <si>
    <t>2. Assistenzärzte (Entgeltgruppe 1)</t>
  </si>
  <si>
    <t>Komplettsystem "Turbomed 4 Platz", inkl. Server, Monitore, Tastaturen, Betriebssystem, Sicherungseinheit, Einrichtung</t>
  </si>
  <si>
    <t xml:space="preserve">Software-Wartung: </t>
  </si>
  <si>
    <t>Lizenz "Turbomed StatistikServer" zum Export von Praxisdaten in eine Datenbank</t>
  </si>
  <si>
    <t>Turbomed Statistik Server</t>
  </si>
  <si>
    <t>Modul Selektivvertrag § 73b-HzV</t>
  </si>
  <si>
    <t>Ultraschallgerät LogiqE GE Healthcare</t>
  </si>
  <si>
    <t>Digit Macroview Video-Othoskop</t>
  </si>
  <si>
    <t xml:space="preserve">Spirometer Schiller Spirovit SP 1 </t>
  </si>
  <si>
    <t>Dermatoskop Heine Delta 20</t>
  </si>
  <si>
    <t>Gefäß-Doppler "SonoTrax Vascular 8"</t>
  </si>
  <si>
    <t>Notfallkoffer Pfitzner</t>
  </si>
  <si>
    <t>Betriebseinnahmen</t>
  </si>
  <si>
    <t>Kassenabrechnung</t>
  </si>
  <si>
    <t>Privatliquidationen</t>
  </si>
  <si>
    <t>Summe Betriebseinnahmen</t>
  </si>
  <si>
    <t>Betriebsausgaben</t>
  </si>
  <si>
    <t>Personalausgaben</t>
  </si>
  <si>
    <t>Praxis/Laborbedarf</t>
  </si>
  <si>
    <t>Beiträge/Versicherungen</t>
  </si>
  <si>
    <t>Reise/Fortbildungskosten</t>
  </si>
  <si>
    <t>Abschreibungen</t>
  </si>
  <si>
    <t>Weitere Ausgaben</t>
  </si>
  <si>
    <t>Summe Betriebsausgaben</t>
  </si>
  <si>
    <t>+ Abschreibungen</t>
  </si>
  <si>
    <t>Monat</t>
  </si>
  <si>
    <t>Jahr</t>
  </si>
  <si>
    <t>Stimmgabeln</t>
  </si>
  <si>
    <t>Körperwaage</t>
  </si>
  <si>
    <t>Babywaage</t>
  </si>
  <si>
    <t>Maßbänder</t>
  </si>
  <si>
    <t>Stethoskope</t>
  </si>
  <si>
    <t>Dermatoskop Mini</t>
  </si>
  <si>
    <t>Kalt-Warm-Tester</t>
  </si>
  <si>
    <t>Reflexhammer</t>
  </si>
  <si>
    <t>Langzeit-RR-Gerät boso</t>
  </si>
  <si>
    <t>ggf. Hausbesuchstaschen</t>
  </si>
  <si>
    <t>Austattung HB-Taschen</t>
  </si>
  <si>
    <t>Chipkarten Lesegerät</t>
  </si>
  <si>
    <t>http://www.waagenwelt.com/waagen/Geeichte-Personenwaagen?refID=3&amp;gclid=CKPx-Y_U1rgCFZQZtAodmUEAhg</t>
  </si>
  <si>
    <t>Untersuchungs/EKG-Liege</t>
  </si>
  <si>
    <t>http://www.waagenwelt.com/waagen/Geeichte-Babywaagen</t>
  </si>
  <si>
    <t>http://www.stethoskopshop.de/schweitzer-master-classic-stethoskop.html</t>
  </si>
  <si>
    <t>Set aus Otoskop Heine Mini/Ophtalmoskop</t>
  </si>
  <si>
    <t>http://www.cls-med.de/Praxisbedarf/Diagnostik/Otoskope-Ophthalmoskope/Diagnostik-Sets/Heine-Mini-3000-Diagnostik-Set-schwarz-D-873-Otoskop-F-O-Beleuchtung-Ophthalmoskop-2-Batteriegriffe-in-Hartschalenbox::4388.html?MODsid=3ae26d2e1b280fd21d1c49d63be3ee12</t>
  </si>
  <si>
    <t>http://www.cls-med.de/Praxisbedarf/Diagnostik/Dermatoskope/HEINE-mini-3000-LED-Dermatoskop-Set-Kontaktscheibe-ohne-Skala-und-Batteriegriff-schwarz::8239.html</t>
  </si>
  <si>
    <t>http://www.praxisdienst.de/Diagnostik/Allgemeine+Diagnostik/Blutdruckmessgeraete/Langzeitblutdruckmessung/boso+TM+2430+PC+2+24h+Blutdruckmessgeraet.html?gclid=CIWFt4LY1rgCFfHKtAod3TkAkA</t>
  </si>
  <si>
    <t>http://www.blutdruck-shop.de/index.php?cl=search&amp;searchparam=boso%20mercurius%20e</t>
  </si>
  <si>
    <t>Blutdruck-Meßgerät Boso Mercurio</t>
  </si>
  <si>
    <t>Beschaffung Uni</t>
  </si>
  <si>
    <t>Links/ Preisquellen, Hinweis: Preisangaben auf den Websites teilweise auch in netto!</t>
  </si>
  <si>
    <t>http://www.medplus24.de/spirometer-schiller-spirovit-sp-1.html?gclid=CIe_7bnZ1rgCFZShtAodmysASA</t>
  </si>
  <si>
    <t>http://www.pfitzner.de/shop/product_info.php/info/p169_WEINMANN-br-Ulmer-Koffer-II-br-Grundausstattung.html/XTCsid/acf66665b82349dbf1e40a1ef256b99d</t>
  </si>
  <si>
    <t>http://www.medizina.de/product_info.php/info/p1697_Untersuchungs---EKG-Liege.html</t>
  </si>
  <si>
    <t>http://www.stimmgabel.info/medizinische-stimmgabeln/stimmgabel-a1-440-hz-mit-fuss.html</t>
  </si>
  <si>
    <t>http://www.arzttaschen-shop.de/epages/61758964.sf/de_DE/?ObjectPath=/Shops/61758964/Products/1.05.411/SubProducts/1.05.411</t>
  </si>
  <si>
    <t>?</t>
  </si>
  <si>
    <t>Investitionen Medizintechnik</t>
  </si>
  <si>
    <t>Investitionen EDV</t>
  </si>
  <si>
    <t>http://www.turbomed.de/turbomed/preisliste</t>
  </si>
  <si>
    <t>http://turbomed-partner.net/hardware/egk-leser/orga6041.html</t>
  </si>
  <si>
    <t>http://ferroma.de/</t>
  </si>
  <si>
    <t>Medikamentenkühlschrank</t>
  </si>
  <si>
    <t>Auswahl der Anzahl der Arzthelferinnen, klicken Sie auf das Feld rechts.</t>
  </si>
  <si>
    <t>Auswahl der Anzahl der Reinigungskräfte, klicken Sie auf das Feld rechts.</t>
  </si>
  <si>
    <t>Tariftabelle UKL:</t>
  </si>
  <si>
    <t xml:space="preserve">Variante: Fachärzte als Oberärzte mit eigenem Verantwortungsbereich, (Engeltstufe 4) </t>
  </si>
  <si>
    <t>Gesamtkosten/Jahr (jeweils Entgeltstufe 2)</t>
  </si>
  <si>
    <t>Auswahl der Anzahl der nicht geförderten Assistenzärzte, klicken Sie auf das Feld rechts.</t>
  </si>
  <si>
    <t>Auswahl der Anzahl der Fachärzte als eigenverantwortliche Oberärzte, klicken Sie auf das Feld rechts.</t>
  </si>
  <si>
    <t>Anzahl Fachärzte</t>
  </si>
  <si>
    <t>Anzahl Assistenten</t>
  </si>
  <si>
    <t>Bitte weiter mit Tabellenblatt Investitionen…</t>
  </si>
  <si>
    <t>Auswahl der Anzahl der Sprechzimmer, klicken Sie auf das Feld rechts.</t>
  </si>
  <si>
    <t>2. Schritt: Konfigurieren Sie die Praxisausstattung.</t>
  </si>
  <si>
    <r>
      <t>Auswahl der Praxisgröße in m</t>
    </r>
    <r>
      <rPr>
        <b/>
        <sz val="10"/>
        <rFont val="Arial"/>
        <family val="2"/>
      </rPr>
      <t>²</t>
    </r>
    <r>
      <rPr>
        <b/>
        <i/>
        <sz val="10"/>
        <rFont val="Arial"/>
        <family val="2"/>
      </rPr>
      <t>, klicken Sie auf das Feld rechts.</t>
    </r>
  </si>
  <si>
    <t>Ansatz der Miete in €/m², klicken Sie auf das Feld rechts.</t>
  </si>
  <si>
    <t>Praxismiete in €:</t>
  </si>
  <si>
    <t>http://turbomed-partner.net/hardware/arbeitsstationen/tftthinclient.html</t>
  </si>
  <si>
    <t>Anzahl zusätzlicher Arbeitsplätze "TFT TurboStation" inkl. Monitor, zur Auswahl klicken Sie auf das Feld rechts.</t>
  </si>
  <si>
    <t>Anzahl zusätzlicher Arztlizenzen "Turbomed plus", zur Auswahl klicken Sie auf das Feld rechts.</t>
  </si>
  <si>
    <t>Ansatz eines Pauschalpostens</t>
  </si>
  <si>
    <t>Gesamtsumme Investitionen/ Finanzierungsbedarf</t>
  </si>
  <si>
    <r>
      <t xml:space="preserve">Software-Lizenz "Turbomed plus" inkl. Arbeitsplatzlizenzen/ Serverlizenz, </t>
    </r>
    <r>
      <rPr>
        <b/>
        <sz val="10"/>
        <rFont val="Arial"/>
        <family val="2"/>
      </rPr>
      <t>max. 3 Ärzte</t>
    </r>
  </si>
  <si>
    <t>Bitte weiter mit Tabellenblatt Abrechnung…</t>
  </si>
  <si>
    <t>Afa-ND</t>
  </si>
  <si>
    <t>Abschreibung Medizintechnik/Jahr</t>
  </si>
  <si>
    <t>Abschreibung EDV/Jahr</t>
  </si>
  <si>
    <t>Abschreibung Möbel/Jahr</t>
  </si>
  <si>
    <t>Abschreibungen Gesamt/Jahr</t>
  </si>
  <si>
    <t>Tragen Sie ihre voraussichtliche Fallzahl/Quartal ein:</t>
  </si>
  <si>
    <t>Praxiskalkulator Allgemeinmedizin</t>
  </si>
  <si>
    <t>Grundhonorar KV/Quartal:</t>
  </si>
  <si>
    <t xml:space="preserve">Privatliquidation/Quartal: </t>
  </si>
  <si>
    <t>Gesamteinnahmen/ Quartal</t>
  </si>
  <si>
    <t>Bitte weiter mit Tabellenblatt BWA…</t>
  </si>
  <si>
    <t>Quartal</t>
  </si>
  <si>
    <t>4. Schritt: Betriebswirtschaftliche Auswertung Praxis Allgemeinmedizin</t>
  </si>
  <si>
    <t>Miete</t>
  </si>
  <si>
    <t>Fremdleistungen/Wartung</t>
  </si>
  <si>
    <t>Kosten Softwarewartung</t>
  </si>
  <si>
    <t>Finanzierungskosten/Zinsen</t>
  </si>
  <si>
    <t>Auswahl der Anzahl der angestellten einfachen Fachärzte, klicken Sie auf das Feld rechts.</t>
  </si>
  <si>
    <t>3. Schritt: Konfigurieren Sie die Darlehensfinanzierung.</t>
  </si>
  <si>
    <t>Tragen Sie den Kreditbetrag in € im Feld rechts ein:</t>
  </si>
  <si>
    <t>Tragen Sie den Zinssatz in % im Feld rechts ein:</t>
  </si>
  <si>
    <t xml:space="preserve">Tragen Sie den Zahlungsmodus im Feld rechts ein (1: jährlich;          12: monatlich) </t>
  </si>
  <si>
    <t>Tragen Sie den Laufzeit in Jahren im Feld rechts ein:</t>
  </si>
  <si>
    <t xml:space="preserve">Tragen Sie die Art der Verrechnung im Feld rechts ein (1: vorschüssig; 0: nachschüssig) </t>
  </si>
  <si>
    <t>(Annuitätendarlehen)</t>
  </si>
  <si>
    <t>Kreditsumme</t>
  </si>
  <si>
    <t>Restwert</t>
  </si>
  <si>
    <t>lfd. Kosten monatlich</t>
  </si>
  <si>
    <t>Zinssatz</t>
  </si>
  <si>
    <t>Zahlungen/Jahr</t>
  </si>
  <si>
    <t>Gesamtlaufzeit in Jahren</t>
  </si>
  <si>
    <t>Verrechnung</t>
  </si>
  <si>
    <t>Summe:</t>
  </si>
  <si>
    <t>Periode</t>
  </si>
  <si>
    <t>Zins</t>
  </si>
  <si>
    <t>Tilgung</t>
  </si>
  <si>
    <t>Annuität</t>
  </si>
  <si>
    <t>Restdarlehen</t>
  </si>
  <si>
    <t xml:space="preserve">Einkommensteuer, bitte tragen Sie das Betriebswirtschaftl. Ergebnis/Jahr im Internet-Steuerrechner des BMF ein. Dann tragen Sie den Steuerbetrag im Feld D30 ein.  </t>
  </si>
  <si>
    <t>./. Darlehenstilgung</t>
  </si>
  <si>
    <t>Auswahl der Anzahl der tätigen Fachärzte, klicken Sie auf das Feld rechts.</t>
  </si>
  <si>
    <t>Ersteinrichtung Praxismöbel (Empfang, Wartezimmer, Schreibtische, Stühle, Schränke u.ä.)</t>
  </si>
  <si>
    <t xml:space="preserve">Anzahl der in der Praxis tätigen Fachärzte (übernommen aus Tabellenblatt "Investitionen") </t>
  </si>
  <si>
    <t>Diagnostik/technische Geräte, in Abhängigkeit der Arztzahl/Sprechzimmer (Preise inkl. MwSt.)</t>
  </si>
  <si>
    <t>Sicherstellungspauschale</t>
  </si>
  <si>
    <t>Tragen Sie den mittleren RLV-Fallwert in € Ihrer Vergleichsgruppe ein (mittlerer Fallwert über alle Altersgruppen hinweg)</t>
  </si>
  <si>
    <t>dafür Chronikerzuschlag:</t>
  </si>
  <si>
    <t>1. Schritt: Wählen Sie das Praxispersonal (ohne Praxisinhaber) aus.</t>
  </si>
  <si>
    <t>Tragen Sie die Gesamtzahl an DMP-Diabetes II Patienten ein:</t>
  </si>
  <si>
    <t>lfd. Einnahmen DMP</t>
  </si>
  <si>
    <t>http://turbomed-partner.net/</t>
  </si>
  <si>
    <t xml:space="preserve">Praxis-EDV (cirka-Preise inkl. MwSt.), </t>
  </si>
  <si>
    <t>Auswahl der Anzahl der geförderten WB-Assistenten Allgemeinmedizin. Klicken Sie auf das Feld rechts.</t>
  </si>
  <si>
    <t>https://www.bmf-steuerrechner.de/ekst/eingabeformekst.xhtml</t>
  </si>
  <si>
    <t>Mittlere Vergütung/Fall</t>
  </si>
  <si>
    <t>Tragen Sie den Privatumsatz in % (Privatpatienten/Igel vom KV-Honorar ein:</t>
  </si>
  <si>
    <t>GKV-Honorar</t>
  </si>
  <si>
    <r>
      <t xml:space="preserve">Rahmenbedingungen: Haustarifvertrag UKL, Gültigkeit ab </t>
    </r>
    <r>
      <rPr>
        <b/>
        <sz val="10"/>
        <rFont val="Arial"/>
        <family val="2"/>
      </rPr>
      <t>9/2013</t>
    </r>
  </si>
  <si>
    <t>Nebenrechnung: KV-Förderung WB Allgemeinmedizin</t>
  </si>
  <si>
    <t>FördersummeAG-Anteil</t>
  </si>
  <si>
    <t>AG-Anteil/Monat</t>
  </si>
  <si>
    <t>AG-Anteil/Jahr</t>
  </si>
  <si>
    <t>https://www.nachwuchsaerzte-sachsen.de/ueber-die-foerderung.html</t>
  </si>
  <si>
    <t>https://www.kvsa.de/praxis/abrechnung_honorar/honorarverteilung/2021/4_quartal_2021.html</t>
  </si>
  <si>
    <t>3. Schritt: Konfigurieren Sie die Eckdaten zur Praxisabrechnung. (Stand RLV-Fallwert Daten KVSA, 4. Quartal 2021)</t>
  </si>
  <si>
    <t>QZV/besondere L./Zuschläge</t>
  </si>
  <si>
    <t>Betriebswirtschaftl. Ergebnis/z.v. Einkommen</t>
  </si>
  <si>
    <t>freier Liquiditätsbeitrag, vor Kranken- und Rentenvers.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</si>
</sst>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#,##0\ &quot;€&quot;"/>
  </numFmts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4"/>
      <name val="Arial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wrapText="1"/>
    </xf>
    <xf numFmtId="164" fontId="6" fillId="0" borderId="0" xfId="0" applyNumberFormat="1" applyFont="1"/>
    <xf numFmtId="0" fontId="0" fillId="0" borderId="0" xfId="0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/>
    <xf numFmtId="164" fontId="0" fillId="0" borderId="0" xfId="0" applyNumberFormat="1" applyAlignment="1">
      <alignment horizontal="right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0" applyFont="1"/>
    <xf numFmtId="2" fontId="0" fillId="0" borderId="0" xfId="0" applyNumberFormat="1"/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/>
    <xf numFmtId="1" fontId="0" fillId="0" borderId="0" xfId="0" applyNumberFormat="1"/>
    <xf numFmtId="164" fontId="8" fillId="0" borderId="0" xfId="0" applyNumberFormat="1" applyFont="1"/>
    <xf numFmtId="0" fontId="8" fillId="0" borderId="0" xfId="0" applyFont="1"/>
    <xf numFmtId="2" fontId="4" fillId="0" borderId="0" xfId="0" applyNumberFormat="1" applyFont="1"/>
    <xf numFmtId="1" fontId="8" fillId="0" borderId="0" xfId="0" applyNumberFormat="1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0" fillId="0" borderId="0" xfId="0" applyAlignment="1"/>
    <xf numFmtId="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9" fontId="2" fillId="0" borderId="0" xfId="0" applyNumberFormat="1" applyFont="1"/>
    <xf numFmtId="164" fontId="5" fillId="0" borderId="0" xfId="0" applyNumberFormat="1" applyFont="1"/>
    <xf numFmtId="49" fontId="0" fillId="0" borderId="0" xfId="0" applyNumberFormat="1" applyAlignment="1"/>
    <xf numFmtId="49" fontId="2" fillId="0" borderId="0" xfId="0" applyNumberFormat="1" applyFont="1" applyAlignment="1"/>
    <xf numFmtId="164" fontId="0" fillId="0" borderId="0" xfId="0" applyNumberFormat="1" applyAlignment="1"/>
    <xf numFmtId="165" fontId="0" fillId="0" borderId="0" xfId="0" applyNumberFormat="1" applyAlignme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165" fontId="4" fillId="0" borderId="0" xfId="0" applyNumberFormat="1" applyFont="1" applyAlignment="1"/>
    <xf numFmtId="165" fontId="2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/>
    <xf numFmtId="165" fontId="5" fillId="0" borderId="0" xfId="0" applyNumberFormat="1" applyFont="1" applyAlignment="1"/>
    <xf numFmtId="10" fontId="2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0" fillId="0" borderId="0" xfId="0" applyNumberFormat="1"/>
    <xf numFmtId="49" fontId="2" fillId="0" borderId="0" xfId="0" applyNumberFormat="1" applyFont="1" applyAlignment="1">
      <alignment wrapText="1"/>
    </xf>
    <xf numFmtId="49" fontId="13" fillId="0" borderId="0" xfId="1" applyNumberFormat="1" applyAlignment="1" applyProtection="1"/>
    <xf numFmtId="165" fontId="13" fillId="0" borderId="0" xfId="1" applyNumberFormat="1" applyAlignment="1" applyProtection="1"/>
    <xf numFmtId="49" fontId="0" fillId="0" borderId="0" xfId="0" applyNumberFormat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13" fillId="0" borderId="0" xfId="1" applyAlignment="1" applyProtection="1"/>
    <xf numFmtId="4" fontId="2" fillId="0" borderId="0" xfId="0" applyNumberFormat="1" applyFont="1"/>
    <xf numFmtId="49" fontId="5" fillId="0" borderId="0" xfId="0" applyNumberFormat="1" applyFont="1" applyAlignment="1">
      <alignment wrapText="1"/>
    </xf>
    <xf numFmtId="166" fontId="2" fillId="0" borderId="0" xfId="0" applyNumberFormat="1" applyFont="1"/>
    <xf numFmtId="0" fontId="13" fillId="0" borderId="0" xfId="1" applyAlignment="1" applyProtection="1"/>
    <xf numFmtId="0" fontId="2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>
      <alignment wrapText="1"/>
    </xf>
    <xf numFmtId="0" fontId="13" fillId="0" borderId="0" xfId="1" applyAlignment="1" applyProtection="1"/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49" fontId="13" fillId="0" borderId="0" xfId="1" applyNumberFormat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chwuchsaerzte-sachsen.de/ueber-die-foerder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rbomed.de/turbomed/preislist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kvsa.de/praxis/abrechnung_honorar/honorarverteilung/2021/4_quartal_2021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mf-steuerrechner.de/ekst/eingabeformekst.x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5"/>
  <sheetViews>
    <sheetView topLeftCell="A25" zoomScale="130" zoomScaleNormal="130" workbookViewId="0">
      <selection activeCell="J57" sqref="J57"/>
    </sheetView>
  </sheetViews>
  <sheetFormatPr baseColWidth="10" defaultRowHeight="12.45" x14ac:dyDescent="0.3"/>
  <cols>
    <col min="1" max="1" width="40" customWidth="1"/>
    <col min="2" max="2" width="10.69140625" bestFit="1" customWidth="1"/>
    <col min="3" max="3" width="9.69140625" bestFit="1" customWidth="1"/>
    <col min="4" max="4" width="14.15234375" bestFit="1" customWidth="1"/>
    <col min="5" max="5" width="15.53515625" bestFit="1" customWidth="1"/>
    <col min="6" max="6" width="12.53515625" bestFit="1" customWidth="1"/>
    <col min="7" max="7" width="45.3046875" customWidth="1"/>
    <col min="8" max="8" width="14" customWidth="1"/>
    <col min="9" max="9" width="13.765625" customWidth="1"/>
    <col min="10" max="10" width="15.61328125" customWidth="1"/>
    <col min="11" max="11" width="14.3046875" customWidth="1"/>
  </cols>
  <sheetData>
    <row r="2" spans="1:15" s="88" customFormat="1" ht="17.600000000000001" x14ac:dyDescent="0.4">
      <c r="A2" s="87" t="s">
        <v>116</v>
      </c>
    </row>
    <row r="3" spans="1:15" s="19" customFormat="1" ht="17.600000000000001" x14ac:dyDescent="0.4">
      <c r="A3" s="18"/>
    </row>
    <row r="4" spans="1:15" s="30" customFormat="1" ht="15.45" x14ac:dyDescent="0.4">
      <c r="A4" s="86" t="s">
        <v>157</v>
      </c>
      <c r="B4" s="85"/>
      <c r="C4" s="85"/>
      <c r="D4" s="85"/>
      <c r="E4" s="85"/>
      <c r="F4" s="85"/>
    </row>
    <row r="6" spans="1:15" ht="37.299999999999997" x14ac:dyDescent="0.3">
      <c r="A6" s="29" t="s">
        <v>127</v>
      </c>
      <c r="B6" s="1">
        <v>0</v>
      </c>
      <c r="D6" s="29"/>
    </row>
    <row r="7" spans="1:15" x14ac:dyDescent="0.3">
      <c r="A7" s="29"/>
      <c r="B7" s="1"/>
      <c r="D7" s="29"/>
    </row>
    <row r="8" spans="1:15" ht="37.299999999999997" x14ac:dyDescent="0.3">
      <c r="A8" s="29" t="s">
        <v>94</v>
      </c>
      <c r="B8" s="1">
        <v>0</v>
      </c>
      <c r="D8" s="29"/>
    </row>
    <row r="9" spans="1:15" x14ac:dyDescent="0.3">
      <c r="A9" s="29"/>
      <c r="D9" s="29"/>
    </row>
    <row r="10" spans="1:15" s="33" customFormat="1" ht="12.9" x14ac:dyDescent="0.35">
      <c r="A10" s="28" t="s">
        <v>95</v>
      </c>
      <c r="B10" s="33">
        <f>SUM(B6:B8)</f>
        <v>0</v>
      </c>
      <c r="D10" s="28"/>
    </row>
    <row r="11" spans="1:15" x14ac:dyDescent="0.3">
      <c r="A11" s="10"/>
    </row>
    <row r="12" spans="1:15" ht="37.299999999999997" x14ac:dyDescent="0.3">
      <c r="A12" s="29" t="s">
        <v>93</v>
      </c>
      <c r="B12" s="1">
        <v>0</v>
      </c>
    </row>
    <row r="13" spans="1:15" x14ac:dyDescent="0.3">
      <c r="A13" s="10"/>
      <c r="B13" s="1"/>
    </row>
    <row r="14" spans="1:15" x14ac:dyDescent="0.3">
      <c r="A14" s="29"/>
      <c r="B14" s="1"/>
      <c r="N14" s="27"/>
      <c r="O14" s="31"/>
    </row>
    <row r="15" spans="1:15" x14ac:dyDescent="0.3">
      <c r="A15" s="29"/>
      <c r="B15" s="1"/>
      <c r="N15" s="27"/>
      <c r="O15" s="31"/>
    </row>
    <row r="16" spans="1:15" ht="37.299999999999997" x14ac:dyDescent="0.3">
      <c r="A16" s="29" t="s">
        <v>162</v>
      </c>
      <c r="B16" s="29">
        <v>1</v>
      </c>
      <c r="N16" s="27"/>
      <c r="O16" s="31"/>
    </row>
    <row r="17" spans="1:15" x14ac:dyDescent="0.3">
      <c r="A17" s="29"/>
      <c r="B17" s="1"/>
      <c r="N17" s="34">
        <v>0</v>
      </c>
      <c r="O17" s="31"/>
    </row>
    <row r="18" spans="1:15" s="33" customFormat="1" ht="12.9" x14ac:dyDescent="0.35">
      <c r="A18" s="28" t="s">
        <v>96</v>
      </c>
      <c r="B18" s="33">
        <f>SUM(B12:B16)</f>
        <v>1</v>
      </c>
      <c r="N18" s="34">
        <v>0.5</v>
      </c>
      <c r="O18" s="35"/>
    </row>
    <row r="19" spans="1:15" x14ac:dyDescent="0.3">
      <c r="A19" s="10"/>
      <c r="N19" s="27">
        <v>1</v>
      </c>
      <c r="O19" s="31"/>
    </row>
    <row r="20" spans="1:15" ht="24.9" x14ac:dyDescent="0.3">
      <c r="A20" s="29" t="s">
        <v>88</v>
      </c>
      <c r="B20" s="1">
        <v>1.5</v>
      </c>
      <c r="N20" s="27">
        <v>1.5</v>
      </c>
      <c r="O20" s="31"/>
    </row>
    <row r="21" spans="1:15" x14ac:dyDescent="0.3">
      <c r="A21" s="10"/>
      <c r="B21" s="1"/>
      <c r="N21" s="27">
        <v>2</v>
      </c>
      <c r="O21" s="31"/>
    </row>
    <row r="22" spans="1:15" ht="24.9" x14ac:dyDescent="0.3">
      <c r="A22" s="29" t="s">
        <v>89</v>
      </c>
      <c r="B22" s="1">
        <v>1</v>
      </c>
      <c r="N22" s="27">
        <v>2.5</v>
      </c>
    </row>
    <row r="23" spans="1:15" x14ac:dyDescent="0.3">
      <c r="A23" s="10"/>
      <c r="N23" s="27">
        <v>3</v>
      </c>
    </row>
    <row r="24" spans="1:15" x14ac:dyDescent="0.3">
      <c r="A24" s="10"/>
      <c r="N24" s="27">
        <v>4</v>
      </c>
    </row>
    <row r="25" spans="1:15" s="10" customFormat="1" ht="24.9" x14ac:dyDescent="0.3">
      <c r="A25" s="10" t="s">
        <v>167</v>
      </c>
      <c r="B25" s="89" t="s">
        <v>23</v>
      </c>
      <c r="C25" s="89"/>
      <c r="D25" s="89"/>
      <c r="E25" s="89"/>
      <c r="F25" s="89"/>
      <c r="G25" s="89"/>
    </row>
    <row r="26" spans="1:15" s="10" customFormat="1" x14ac:dyDescent="0.3">
      <c r="B26" s="89"/>
      <c r="C26" s="89"/>
      <c r="D26" s="89"/>
      <c r="E26" s="89"/>
      <c r="F26" s="89"/>
      <c r="G26" s="89"/>
    </row>
    <row r="27" spans="1:15" s="10" customFormat="1" x14ac:dyDescent="0.3"/>
    <row r="28" spans="1:15" s="10" customFormat="1" x14ac:dyDescent="0.3">
      <c r="A28" s="14" t="s">
        <v>90</v>
      </c>
    </row>
    <row r="30" spans="1:15" x14ac:dyDescent="0.3">
      <c r="A30" s="84" t="s">
        <v>4</v>
      </c>
      <c r="B30" s="85"/>
    </row>
    <row r="31" spans="1:15" x14ac:dyDescent="0.3">
      <c r="A31" s="1"/>
    </row>
    <row r="32" spans="1:15" x14ac:dyDescent="0.3">
      <c r="B32" s="4" t="s">
        <v>0</v>
      </c>
      <c r="C32" s="4" t="s">
        <v>1</v>
      </c>
      <c r="D32" s="4" t="s">
        <v>2</v>
      </c>
      <c r="E32" s="4" t="s">
        <v>16</v>
      </c>
      <c r="F32" s="4" t="s">
        <v>3</v>
      </c>
      <c r="G32" s="5"/>
      <c r="H32" s="5"/>
      <c r="I32" s="5"/>
      <c r="J32" s="5"/>
    </row>
    <row r="33" spans="1:16" x14ac:dyDescent="0.3">
      <c r="A33" t="s">
        <v>5</v>
      </c>
      <c r="B33" s="3">
        <v>5337.9</v>
      </c>
      <c r="C33" s="3">
        <f>(B33*0.2)</f>
        <v>1067.58</v>
      </c>
      <c r="D33" s="3">
        <f>B33+C33</f>
        <v>6405.48</v>
      </c>
      <c r="E33" t="s">
        <v>17</v>
      </c>
      <c r="F33" s="3">
        <f>D33*12</f>
        <v>76865.759999999995</v>
      </c>
    </row>
    <row r="34" spans="1:16" x14ac:dyDescent="0.3">
      <c r="A34" t="s">
        <v>6</v>
      </c>
      <c r="B34" s="3">
        <v>5728.48</v>
      </c>
      <c r="C34" s="3">
        <f>(B34*0.2)</f>
        <v>1145.6959999999999</v>
      </c>
      <c r="D34" s="3">
        <f>B34+C34</f>
        <v>6874.1759999999995</v>
      </c>
      <c r="E34" t="s">
        <v>17</v>
      </c>
      <c r="F34" s="3">
        <f>D34*12</f>
        <v>82490.111999999994</v>
      </c>
    </row>
    <row r="35" spans="1:16" x14ac:dyDescent="0.3">
      <c r="A35" t="s">
        <v>7</v>
      </c>
      <c r="B35" s="3">
        <v>6249.25</v>
      </c>
      <c r="C35" s="3">
        <f>(B35*0.2)</f>
        <v>1249.8500000000001</v>
      </c>
      <c r="D35" s="3">
        <f>B35+C35</f>
        <v>7499.1</v>
      </c>
      <c r="E35" t="s">
        <v>17</v>
      </c>
      <c r="F35" s="3">
        <f>D35*12</f>
        <v>89989.200000000012</v>
      </c>
    </row>
    <row r="36" spans="1:16" x14ac:dyDescent="0.3">
      <c r="B36" s="3"/>
      <c r="C36" s="3"/>
      <c r="D36" s="3"/>
      <c r="F36" s="3"/>
    </row>
    <row r="37" spans="1:16" s="33" customFormat="1" ht="25.75" x14ac:dyDescent="0.35">
      <c r="A37" s="28" t="s">
        <v>91</v>
      </c>
      <c r="B37" s="32">
        <v>6714.98</v>
      </c>
      <c r="C37" s="32">
        <f>(B37*0.2)</f>
        <v>1342.9960000000001</v>
      </c>
      <c r="D37" s="32">
        <f>B37+C37</f>
        <v>8057.9759999999997</v>
      </c>
      <c r="E37" s="33" t="s">
        <v>17</v>
      </c>
      <c r="F37" s="32">
        <f>D37*12</f>
        <v>96695.712</v>
      </c>
    </row>
    <row r="38" spans="1:16" x14ac:dyDescent="0.3">
      <c r="B38" s="3"/>
      <c r="C38" s="3"/>
      <c r="D38" s="3"/>
      <c r="F38" s="3"/>
    </row>
    <row r="39" spans="1:16" x14ac:dyDescent="0.3">
      <c r="B39" s="3"/>
    </row>
    <row r="40" spans="1:16" s="85" customFormat="1" x14ac:dyDescent="0.3">
      <c r="A40" s="84" t="s">
        <v>25</v>
      </c>
      <c r="B40" s="84"/>
    </row>
    <row r="41" spans="1:16" x14ac:dyDescent="0.3">
      <c r="B41" s="3"/>
      <c r="H41" s="84"/>
      <c r="I41" s="84"/>
      <c r="J41" s="84"/>
      <c r="K41" s="84"/>
      <c r="L41" s="84"/>
      <c r="M41" s="84"/>
      <c r="N41" s="85"/>
      <c r="O41" s="85"/>
      <c r="P41" s="85"/>
    </row>
    <row r="42" spans="1:16" x14ac:dyDescent="0.3">
      <c r="B42" s="3"/>
      <c r="H42" s="11"/>
      <c r="I42" s="11"/>
      <c r="J42" s="11"/>
      <c r="K42" s="11"/>
      <c r="L42" s="2"/>
      <c r="M42" s="2"/>
    </row>
    <row r="43" spans="1:16" x14ac:dyDescent="0.3">
      <c r="A43" t="s">
        <v>8</v>
      </c>
      <c r="B43" s="3">
        <v>4068.79</v>
      </c>
      <c r="C43" s="3">
        <f>(B43*0.2)</f>
        <v>813.75800000000004</v>
      </c>
      <c r="D43" s="3">
        <f>B43+C43</f>
        <v>4882.5479999999998</v>
      </c>
      <c r="E43" t="s">
        <v>17</v>
      </c>
      <c r="F43" s="3">
        <f>D43*12</f>
        <v>58590.576000000001</v>
      </c>
      <c r="H43" s="3"/>
      <c r="I43" s="3"/>
      <c r="J43" s="3"/>
      <c r="K43" s="3"/>
    </row>
    <row r="44" spans="1:16" x14ac:dyDescent="0.3">
      <c r="A44" t="s">
        <v>9</v>
      </c>
      <c r="B44" s="3">
        <v>4331.29</v>
      </c>
      <c r="C44" s="3">
        <f>(B44*0.2)</f>
        <v>866.25800000000004</v>
      </c>
      <c r="D44" s="3">
        <f>B44+C44</f>
        <v>5197.5479999999998</v>
      </c>
      <c r="E44" t="s">
        <v>17</v>
      </c>
      <c r="F44" s="3">
        <f>D44*12</f>
        <v>62370.576000000001</v>
      </c>
      <c r="H44" s="3"/>
      <c r="I44" s="3"/>
      <c r="J44" s="3"/>
      <c r="K44" s="3"/>
    </row>
    <row r="45" spans="1:16" x14ac:dyDescent="0.3">
      <c r="A45" t="s">
        <v>10</v>
      </c>
      <c r="B45" s="3">
        <v>4593.79</v>
      </c>
      <c r="C45" s="3">
        <f>(B45*0.2)</f>
        <v>918.75800000000004</v>
      </c>
      <c r="D45" s="3">
        <f>B45+C45</f>
        <v>5512.5479999999998</v>
      </c>
      <c r="E45" t="s">
        <v>17</v>
      </c>
      <c r="F45" s="3">
        <f>D45*12</f>
        <v>66150.576000000001</v>
      </c>
      <c r="H45" s="3"/>
      <c r="I45" s="3"/>
      <c r="J45" s="3"/>
      <c r="K45" s="3"/>
    </row>
    <row r="46" spans="1:16" x14ac:dyDescent="0.3">
      <c r="A46" t="s">
        <v>11</v>
      </c>
      <c r="B46" s="3">
        <v>5072.24</v>
      </c>
      <c r="C46" s="3">
        <f>(B46*0.2)</f>
        <v>1014.448</v>
      </c>
      <c r="D46" s="3">
        <f>B46+C46</f>
        <v>6086.6880000000001</v>
      </c>
      <c r="E46" t="s">
        <v>17</v>
      </c>
      <c r="F46" s="3">
        <f>D46*12</f>
        <v>73040.255999999994</v>
      </c>
      <c r="H46" s="3"/>
      <c r="I46" s="3"/>
      <c r="J46" s="3"/>
      <c r="K46" s="3"/>
    </row>
    <row r="47" spans="1:16" x14ac:dyDescent="0.3">
      <c r="B47" s="3"/>
    </row>
    <row r="48" spans="1:16" x14ac:dyDescent="0.3">
      <c r="A48" s="84" t="s">
        <v>12</v>
      </c>
      <c r="B48" s="84"/>
      <c r="H48" s="84" t="s">
        <v>168</v>
      </c>
      <c r="I48" s="84"/>
      <c r="J48" s="84"/>
      <c r="K48" s="84"/>
      <c r="L48" s="84"/>
      <c r="M48" s="84"/>
      <c r="N48" s="84"/>
      <c r="O48" s="84"/>
      <c r="P48" s="85"/>
    </row>
    <row r="49" spans="1:15" x14ac:dyDescent="0.3">
      <c r="B49" s="3"/>
      <c r="H49" t="s">
        <v>169</v>
      </c>
      <c r="J49" t="s">
        <v>170</v>
      </c>
      <c r="K49" t="s">
        <v>171</v>
      </c>
    </row>
    <row r="50" spans="1:15" x14ac:dyDescent="0.3">
      <c r="A50" t="s">
        <v>13</v>
      </c>
      <c r="B50" s="3">
        <v>1740.57</v>
      </c>
      <c r="C50" s="3">
        <f>B50*0.2</f>
        <v>348.11400000000003</v>
      </c>
      <c r="D50" s="3">
        <f>B50+C50</f>
        <v>2088.6840000000002</v>
      </c>
      <c r="E50" s="3">
        <f>B50*0.55</f>
        <v>957.31350000000009</v>
      </c>
      <c r="F50" s="3">
        <f>D50*12+E50</f>
        <v>26021.521500000003</v>
      </c>
      <c r="H50" s="3">
        <v>5000</v>
      </c>
      <c r="I50" s="3">
        <f>H50*0.21</f>
        <v>1050</v>
      </c>
      <c r="J50" s="3">
        <f>I50</f>
        <v>1050</v>
      </c>
      <c r="K50" s="3">
        <f>J50*12</f>
        <v>12600</v>
      </c>
    </row>
    <row r="51" spans="1:15" x14ac:dyDescent="0.3">
      <c r="A51" t="s">
        <v>14</v>
      </c>
      <c r="B51" s="3">
        <v>1832.78</v>
      </c>
      <c r="C51" s="3">
        <f>B51*0.2</f>
        <v>366.55600000000004</v>
      </c>
      <c r="D51" s="3">
        <f>B51+C51</f>
        <v>2199.3360000000002</v>
      </c>
      <c r="E51" s="3">
        <f>B51*0.55</f>
        <v>1008.0290000000001</v>
      </c>
      <c r="F51" s="3">
        <f>D51*12+E51</f>
        <v>27400.061000000002</v>
      </c>
      <c r="H51" s="3"/>
      <c r="I51" s="3"/>
      <c r="J51" s="3"/>
      <c r="K51" s="3"/>
    </row>
    <row r="52" spans="1:15" x14ac:dyDescent="0.3">
      <c r="A52" t="s">
        <v>15</v>
      </c>
      <c r="B52" s="3">
        <v>1924.99</v>
      </c>
      <c r="C52" s="3">
        <f>B52*0.2</f>
        <v>384.99800000000005</v>
      </c>
      <c r="D52" s="3">
        <f>B52+C52</f>
        <v>2309.9880000000003</v>
      </c>
      <c r="E52" s="3">
        <f>B52*0.55</f>
        <v>1058.7445</v>
      </c>
      <c r="F52" s="3">
        <f>D52*12+E52</f>
        <v>28778.600500000004</v>
      </c>
      <c r="H52" s="3"/>
      <c r="I52" s="3"/>
      <c r="J52" s="3"/>
      <c r="K52" s="3"/>
    </row>
    <row r="53" spans="1:15" x14ac:dyDescent="0.3">
      <c r="B53" s="3"/>
      <c r="H53" s="90" t="s">
        <v>172</v>
      </c>
      <c r="I53" s="85"/>
      <c r="J53" s="85"/>
      <c r="K53" s="85"/>
      <c r="L53" s="85"/>
      <c r="M53" s="85"/>
      <c r="N53" s="85"/>
    </row>
    <row r="54" spans="1:15" x14ac:dyDescent="0.3">
      <c r="A54" s="1" t="s">
        <v>18</v>
      </c>
      <c r="B54" s="3"/>
      <c r="H54" s="90"/>
      <c r="I54" s="85"/>
      <c r="J54" s="85"/>
      <c r="K54" s="85"/>
      <c r="L54" s="85"/>
      <c r="M54" s="85"/>
      <c r="N54" s="85"/>
      <c r="O54" s="85"/>
    </row>
    <row r="55" spans="1:15" x14ac:dyDescent="0.3">
      <c r="B55" s="3"/>
    </row>
    <row r="56" spans="1:15" x14ac:dyDescent="0.3">
      <c r="B56" s="3">
        <v>450</v>
      </c>
      <c r="C56" s="3">
        <f>B56*0.3094</f>
        <v>139.22999999999999</v>
      </c>
      <c r="D56" s="3">
        <f>B56+C56</f>
        <v>589.23</v>
      </c>
      <c r="E56" t="s">
        <v>17</v>
      </c>
      <c r="F56" s="3">
        <f>D56*12</f>
        <v>7070.76</v>
      </c>
    </row>
    <row r="57" spans="1:15" x14ac:dyDescent="0.3">
      <c r="B57" s="3"/>
    </row>
    <row r="58" spans="1:15" x14ac:dyDescent="0.3">
      <c r="B58" s="3"/>
    </row>
    <row r="59" spans="1:15" s="85" customFormat="1" x14ac:dyDescent="0.3">
      <c r="A59" s="84" t="s">
        <v>92</v>
      </c>
    </row>
    <row r="60" spans="1:15" x14ac:dyDescent="0.3">
      <c r="B60" s="3"/>
    </row>
    <row r="61" spans="1:15" ht="17.600000000000001" x14ac:dyDescent="0.4">
      <c r="A61" s="6">
        <f>F34*B6+F37*B8+F44*B12+K44*B14+K50*B16+F51*B20+F56</f>
        <v>60770.851500000004</v>
      </c>
      <c r="B61" s="3"/>
    </row>
    <row r="63" spans="1:15" x14ac:dyDescent="0.3">
      <c r="A63" t="s">
        <v>24</v>
      </c>
      <c r="B63" s="12">
        <f>A61/12</f>
        <v>5064.2376250000007</v>
      </c>
    </row>
    <row r="64" spans="1:15" x14ac:dyDescent="0.3">
      <c r="B64" s="3"/>
    </row>
    <row r="65" spans="1:3" ht="15.45" x14ac:dyDescent="0.4">
      <c r="A65" s="86" t="s">
        <v>97</v>
      </c>
      <c r="B65" s="85"/>
      <c r="C65" s="85"/>
    </row>
  </sheetData>
  <mergeCells count="12">
    <mergeCell ref="H48:P48"/>
    <mergeCell ref="A65:C65"/>
    <mergeCell ref="A30:B30"/>
    <mergeCell ref="A2:XFD2"/>
    <mergeCell ref="A48:B48"/>
    <mergeCell ref="A59:XFD59"/>
    <mergeCell ref="A40:XFD40"/>
    <mergeCell ref="B25:G26"/>
    <mergeCell ref="H41:P41"/>
    <mergeCell ref="H53:N53"/>
    <mergeCell ref="A4:F4"/>
    <mergeCell ref="H54:O54"/>
  </mergeCells>
  <phoneticPr fontId="1" type="noConversion"/>
  <dataValidations count="2">
    <dataValidation type="list" allowBlank="1" showInputMessage="1" showErrorMessage="1" sqref="B7 B10" xr:uid="{00000000-0002-0000-0000-000000000000}">
      <formula1>$N$14:$N$24</formula1>
    </dataValidation>
    <dataValidation type="list" allowBlank="1" showInputMessage="1" showErrorMessage="1" sqref="B6 B8 B12 B14 B16 B20 B22" xr:uid="{00000000-0002-0000-0000-000001000000}">
      <formula1>$N$17:$N$24</formula1>
    </dataValidation>
  </dataValidations>
  <hyperlinks>
    <hyperlink ref="H53" r:id="rId1" xr:uid="{FC93CD0F-6E22-43B8-80F7-72C5375BA9AB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92"/>
  <sheetViews>
    <sheetView zoomScale="130" zoomScaleNormal="130" workbookViewId="0">
      <selection activeCell="B45" sqref="B45"/>
    </sheetView>
  </sheetViews>
  <sheetFormatPr baseColWidth="10" defaultRowHeight="12.45" x14ac:dyDescent="0.3"/>
  <cols>
    <col min="1" max="1" width="29" style="7" customWidth="1"/>
    <col min="2" max="2" width="32.53515625" style="10" customWidth="1"/>
    <col min="3" max="3" width="11.69140625" style="16" bestFit="1" customWidth="1"/>
    <col min="4" max="4" width="19.3828125" style="5" bestFit="1" customWidth="1"/>
    <col min="5" max="5" width="235.15234375" bestFit="1" customWidth="1"/>
  </cols>
  <sheetData>
    <row r="2" spans="1:9" s="93" customFormat="1" ht="15.45" x14ac:dyDescent="0.4">
      <c r="A2" s="92" t="s">
        <v>99</v>
      </c>
    </row>
    <row r="3" spans="1:9" s="37" customFormat="1" ht="15.45" x14ac:dyDescent="0.4">
      <c r="A3" s="36"/>
      <c r="G3" s="38">
        <v>1</v>
      </c>
      <c r="H3" s="37">
        <v>0</v>
      </c>
      <c r="I3" s="37">
        <v>4</v>
      </c>
    </row>
    <row r="4" spans="1:9" s="37" customFormat="1" ht="38.15" x14ac:dyDescent="0.4">
      <c r="A4" s="29" t="s">
        <v>98</v>
      </c>
      <c r="B4" s="36">
        <v>2</v>
      </c>
      <c r="G4" s="38">
        <v>2</v>
      </c>
      <c r="H4" s="37">
        <v>1</v>
      </c>
      <c r="I4" s="37">
        <v>5</v>
      </c>
    </row>
    <row r="5" spans="1:9" s="37" customFormat="1" ht="15.45" x14ac:dyDescent="0.4">
      <c r="A5" s="29"/>
      <c r="B5" s="36"/>
      <c r="G5" s="38">
        <v>3</v>
      </c>
      <c r="H5" s="37">
        <v>2</v>
      </c>
      <c r="I5" s="37">
        <v>6</v>
      </c>
    </row>
    <row r="6" spans="1:9" s="37" customFormat="1" ht="38.15" x14ac:dyDescent="0.4">
      <c r="A6" s="29" t="s">
        <v>150</v>
      </c>
      <c r="B6" s="36">
        <v>1</v>
      </c>
      <c r="G6" s="38">
        <v>4</v>
      </c>
      <c r="H6" s="37">
        <v>3</v>
      </c>
      <c r="I6" s="37">
        <v>7</v>
      </c>
    </row>
    <row r="7" spans="1:9" s="37" customFormat="1" ht="15.45" x14ac:dyDescent="0.4">
      <c r="A7" s="36"/>
      <c r="B7" s="36"/>
      <c r="G7" s="38">
        <v>5</v>
      </c>
      <c r="H7" s="37">
        <v>4</v>
      </c>
      <c r="I7" s="37">
        <v>8</v>
      </c>
    </row>
    <row r="8" spans="1:9" s="37" customFormat="1" ht="25.75" x14ac:dyDescent="0.4">
      <c r="A8" s="29" t="s">
        <v>100</v>
      </c>
      <c r="B8" s="36">
        <v>80</v>
      </c>
      <c r="G8" s="38"/>
      <c r="H8" s="37">
        <v>5</v>
      </c>
      <c r="I8" s="37">
        <v>9</v>
      </c>
    </row>
    <row r="9" spans="1:9" s="37" customFormat="1" ht="15.45" x14ac:dyDescent="0.4">
      <c r="A9" s="29"/>
      <c r="B9" s="36"/>
      <c r="G9" s="38"/>
      <c r="I9" s="37">
        <v>10</v>
      </c>
    </row>
    <row r="10" spans="1:9" s="37" customFormat="1" ht="25.75" x14ac:dyDescent="0.4">
      <c r="A10" s="29" t="s">
        <v>101</v>
      </c>
      <c r="B10" s="36">
        <v>12</v>
      </c>
      <c r="G10" s="38"/>
      <c r="I10" s="37">
        <v>12</v>
      </c>
    </row>
    <row r="11" spans="1:9" s="37" customFormat="1" ht="15.45" x14ac:dyDescent="0.4">
      <c r="A11" s="29"/>
      <c r="B11" s="36"/>
      <c r="G11" s="38"/>
      <c r="I11" s="37">
        <v>14</v>
      </c>
    </row>
    <row r="12" spans="1:9" s="37" customFormat="1" ht="15.45" x14ac:dyDescent="0.4">
      <c r="A12" s="14" t="s">
        <v>102</v>
      </c>
      <c r="B12" s="36">
        <f>B8*B10</f>
        <v>960</v>
      </c>
      <c r="G12" s="38"/>
      <c r="I12" s="37">
        <v>16</v>
      </c>
    </row>
    <row r="13" spans="1:9" s="10" customFormat="1" ht="15" x14ac:dyDescent="0.35">
      <c r="A13" s="14"/>
      <c r="G13" s="38"/>
      <c r="I13" s="10">
        <v>18</v>
      </c>
    </row>
    <row r="14" spans="1:9" s="93" customFormat="1" ht="15.45" x14ac:dyDescent="0.4">
      <c r="A14" s="92" t="s">
        <v>153</v>
      </c>
    </row>
    <row r="15" spans="1:9" s="2" customFormat="1" x14ac:dyDescent="0.3">
      <c r="A15" s="9"/>
      <c r="B15" s="14"/>
      <c r="C15" s="11"/>
      <c r="D15" s="4"/>
      <c r="H15" s="39">
        <v>80</v>
      </c>
    </row>
    <row r="16" spans="1:9" s="1" customFormat="1" x14ac:dyDescent="0.3">
      <c r="A16" s="9" t="s">
        <v>110</v>
      </c>
      <c r="B16" s="14" t="s">
        <v>20</v>
      </c>
      <c r="C16" s="11" t="s">
        <v>22</v>
      </c>
      <c r="D16" s="4" t="s">
        <v>21</v>
      </c>
      <c r="E16" s="1" t="s">
        <v>75</v>
      </c>
      <c r="H16" s="20">
        <v>100</v>
      </c>
    </row>
    <row r="17" spans="1:8" x14ac:dyDescent="0.3">
      <c r="A17" s="8">
        <v>8</v>
      </c>
      <c r="B17" s="10" t="s">
        <v>19</v>
      </c>
      <c r="C17" s="16">
        <v>1</v>
      </c>
      <c r="D17" s="21">
        <f>13000*C17</f>
        <v>13000</v>
      </c>
      <c r="E17" t="s">
        <v>74</v>
      </c>
      <c r="H17" s="20">
        <v>120</v>
      </c>
    </row>
    <row r="18" spans="1:8" x14ac:dyDescent="0.3">
      <c r="A18" s="8">
        <v>5</v>
      </c>
      <c r="B18" s="10" t="s">
        <v>31</v>
      </c>
      <c r="C18" s="16">
        <v>1</v>
      </c>
      <c r="D18" s="21">
        <f>17000*C18</f>
        <v>17000</v>
      </c>
      <c r="E18" t="s">
        <v>74</v>
      </c>
      <c r="H18" s="20">
        <v>140</v>
      </c>
    </row>
    <row r="19" spans="1:8" x14ac:dyDescent="0.3">
      <c r="A19" s="8">
        <v>10</v>
      </c>
      <c r="B19" s="10" t="s">
        <v>32</v>
      </c>
      <c r="C19" s="16">
        <v>1</v>
      </c>
      <c r="D19" s="21">
        <f>1249.5*C19</f>
        <v>1249.5</v>
      </c>
      <c r="E19" s="20" t="s">
        <v>74</v>
      </c>
      <c r="H19" s="20">
        <v>160</v>
      </c>
    </row>
    <row r="20" spans="1:8" x14ac:dyDescent="0.3">
      <c r="A20" s="8">
        <v>5</v>
      </c>
      <c r="B20" s="10" t="s">
        <v>33</v>
      </c>
      <c r="C20" s="16">
        <v>1</v>
      </c>
      <c r="D20" s="21">
        <f>C20*3266.61</f>
        <v>3266.61</v>
      </c>
      <c r="E20" t="s">
        <v>76</v>
      </c>
      <c r="H20" s="20">
        <v>180</v>
      </c>
    </row>
    <row r="21" spans="1:8" x14ac:dyDescent="0.3">
      <c r="A21" s="8">
        <v>5</v>
      </c>
      <c r="B21" s="10" t="s">
        <v>34</v>
      </c>
      <c r="C21" s="16">
        <v>1</v>
      </c>
      <c r="D21" s="21">
        <f>570*C21</f>
        <v>570</v>
      </c>
      <c r="E21" t="s">
        <v>74</v>
      </c>
      <c r="H21" s="20">
        <v>200</v>
      </c>
    </row>
    <row r="22" spans="1:8" x14ac:dyDescent="0.3">
      <c r="A22" s="8"/>
      <c r="B22" s="10" t="s">
        <v>35</v>
      </c>
      <c r="C22" s="16">
        <v>1</v>
      </c>
      <c r="D22" s="21">
        <f>300*C22</f>
        <v>300</v>
      </c>
      <c r="E22" t="s">
        <v>74</v>
      </c>
      <c r="H22" s="20">
        <v>220</v>
      </c>
    </row>
    <row r="23" spans="1:8" x14ac:dyDescent="0.3">
      <c r="A23" s="8"/>
      <c r="B23" s="10" t="s">
        <v>73</v>
      </c>
      <c r="C23" s="16">
        <f>B4</f>
        <v>2</v>
      </c>
      <c r="D23" s="21">
        <f>C23*129</f>
        <v>258</v>
      </c>
      <c r="E23" t="s">
        <v>72</v>
      </c>
      <c r="H23" s="20">
        <v>240</v>
      </c>
    </row>
    <row r="24" spans="1:8" x14ac:dyDescent="0.3">
      <c r="A24" s="8">
        <v>5</v>
      </c>
      <c r="B24" s="10" t="s">
        <v>36</v>
      </c>
      <c r="C24" s="16">
        <v>1</v>
      </c>
      <c r="D24" s="21">
        <f>C24*1326.85</f>
        <v>1326.85</v>
      </c>
      <c r="E24" t="s">
        <v>77</v>
      </c>
      <c r="H24" s="20">
        <v>260</v>
      </c>
    </row>
    <row r="25" spans="1:8" x14ac:dyDescent="0.3">
      <c r="A25" s="8">
        <v>10</v>
      </c>
      <c r="B25" s="10" t="s">
        <v>65</v>
      </c>
      <c r="C25" s="16">
        <f>B4</f>
        <v>2</v>
      </c>
      <c r="D25" s="21">
        <f>C25*534.31</f>
        <v>1068.6199999999999</v>
      </c>
      <c r="E25" t="s">
        <v>78</v>
      </c>
      <c r="H25" s="20">
        <v>280</v>
      </c>
    </row>
    <row r="26" spans="1:8" x14ac:dyDescent="0.3">
      <c r="A26" s="8"/>
      <c r="B26" s="10" t="s">
        <v>52</v>
      </c>
      <c r="C26" s="16">
        <f>B6</f>
        <v>1</v>
      </c>
      <c r="D26" s="21">
        <f>C26*49</f>
        <v>49</v>
      </c>
      <c r="E26" t="s">
        <v>79</v>
      </c>
      <c r="H26" s="20">
        <v>300</v>
      </c>
    </row>
    <row r="27" spans="1:8" x14ac:dyDescent="0.3">
      <c r="A27" s="8"/>
      <c r="B27" s="10" t="s">
        <v>53</v>
      </c>
      <c r="C27" s="16">
        <f>B6</f>
        <v>1</v>
      </c>
      <c r="D27" s="21">
        <f>C27*450</f>
        <v>450</v>
      </c>
      <c r="E27" t="s">
        <v>64</v>
      </c>
    </row>
    <row r="28" spans="1:8" x14ac:dyDescent="0.3">
      <c r="A28" s="8"/>
      <c r="B28" s="10" t="s">
        <v>54</v>
      </c>
      <c r="C28" s="16">
        <v>1</v>
      </c>
      <c r="D28" s="21">
        <f>C28*299</f>
        <v>299</v>
      </c>
      <c r="E28" t="s">
        <v>66</v>
      </c>
    </row>
    <row r="29" spans="1:8" x14ac:dyDescent="0.3">
      <c r="A29" s="8"/>
      <c r="B29" s="10" t="s">
        <v>55</v>
      </c>
      <c r="C29" s="16">
        <f>B6</f>
        <v>1</v>
      </c>
      <c r="D29" s="21">
        <f>C29*10</f>
        <v>10</v>
      </c>
    </row>
    <row r="30" spans="1:8" x14ac:dyDescent="0.3">
      <c r="A30" s="8"/>
      <c r="B30" s="10" t="s">
        <v>56</v>
      </c>
      <c r="C30" s="16">
        <f>B6</f>
        <v>1</v>
      </c>
      <c r="D30" s="21">
        <f>C30*69.9</f>
        <v>69.900000000000006</v>
      </c>
      <c r="E30" t="s">
        <v>67</v>
      </c>
    </row>
    <row r="31" spans="1:8" ht="24.9" x14ac:dyDescent="0.3">
      <c r="A31" s="8"/>
      <c r="B31" s="10" t="s">
        <v>68</v>
      </c>
      <c r="C31" s="16">
        <f>B6</f>
        <v>1</v>
      </c>
      <c r="D31" s="21">
        <f>C31*305.83</f>
        <v>305.83</v>
      </c>
      <c r="E31" t="s">
        <v>69</v>
      </c>
    </row>
    <row r="32" spans="1:8" x14ac:dyDescent="0.3">
      <c r="A32" s="8"/>
      <c r="B32" s="10" t="s">
        <v>57</v>
      </c>
      <c r="C32" s="16">
        <f>B6</f>
        <v>1</v>
      </c>
      <c r="D32" s="21">
        <f>C32*332.43</f>
        <v>332.43</v>
      </c>
      <c r="E32" t="s">
        <v>70</v>
      </c>
    </row>
    <row r="33" spans="1:5" x14ac:dyDescent="0.3">
      <c r="A33" s="8"/>
      <c r="B33" s="10" t="s">
        <v>58</v>
      </c>
      <c r="C33" s="16">
        <f>B6</f>
        <v>1</v>
      </c>
      <c r="D33" s="21">
        <f>C33*15</f>
        <v>15</v>
      </c>
    </row>
    <row r="34" spans="1:5" x14ac:dyDescent="0.3">
      <c r="A34" s="8"/>
      <c r="B34" s="10" t="s">
        <v>59</v>
      </c>
      <c r="C34" s="16">
        <f>B6</f>
        <v>1</v>
      </c>
      <c r="D34" s="21">
        <f>C34*30</f>
        <v>30</v>
      </c>
    </row>
    <row r="35" spans="1:5" x14ac:dyDescent="0.3">
      <c r="A35" s="8">
        <v>5</v>
      </c>
      <c r="B35" s="10" t="s">
        <v>60</v>
      </c>
      <c r="C35" s="16">
        <v>1</v>
      </c>
      <c r="D35" s="21">
        <f>C35*1129.31</f>
        <v>1129.31</v>
      </c>
      <c r="E35" t="s">
        <v>71</v>
      </c>
    </row>
    <row r="36" spans="1:5" x14ac:dyDescent="0.3">
      <c r="A36" s="8"/>
      <c r="B36" s="10" t="s">
        <v>61</v>
      </c>
      <c r="C36" s="16">
        <f>B6</f>
        <v>1</v>
      </c>
      <c r="D36" s="21">
        <f>C36*249</f>
        <v>249</v>
      </c>
      <c r="E36" t="s">
        <v>80</v>
      </c>
    </row>
    <row r="37" spans="1:5" x14ac:dyDescent="0.3">
      <c r="A37" s="8"/>
      <c r="B37" s="10" t="s">
        <v>62</v>
      </c>
      <c r="C37" s="16">
        <f>B6</f>
        <v>1</v>
      </c>
      <c r="D37" s="21" t="s">
        <v>81</v>
      </c>
    </row>
    <row r="38" spans="1:5" x14ac:dyDescent="0.3">
      <c r="A38" s="8"/>
      <c r="B38" s="10" t="s">
        <v>87</v>
      </c>
      <c r="C38" s="16">
        <v>2</v>
      </c>
      <c r="D38" s="21" t="s">
        <v>81</v>
      </c>
      <c r="E38" t="s">
        <v>86</v>
      </c>
    </row>
    <row r="39" spans="1:5" s="26" customFormat="1" ht="17.600000000000001" x14ac:dyDescent="0.4">
      <c r="A39" s="22"/>
      <c r="B39" s="23" t="s">
        <v>82</v>
      </c>
      <c r="C39" s="24"/>
      <c r="D39" s="25">
        <f>SUM(D17:D37)</f>
        <v>40979.050000000003</v>
      </c>
    </row>
    <row r="40" spans="1:5" x14ac:dyDescent="0.3">
      <c r="A40" s="8"/>
      <c r="D40" s="21"/>
    </row>
    <row r="41" spans="1:5" s="33" customFormat="1" ht="12.9" x14ac:dyDescent="0.35">
      <c r="A41" s="48"/>
      <c r="B41" s="28" t="s">
        <v>111</v>
      </c>
      <c r="C41" s="49"/>
      <c r="D41" s="50">
        <f>D17/A17+D18/A18+D19/A19+D20/A20+D21/A21+D24/A24+D25/A25+D35/A35</f>
        <v>6515.366</v>
      </c>
    </row>
    <row r="42" spans="1:5" x14ac:dyDescent="0.3">
      <c r="A42" s="8"/>
      <c r="D42" s="21"/>
    </row>
    <row r="43" spans="1:5" s="86" customFormat="1" ht="15.45" x14ac:dyDescent="0.4">
      <c r="A43" s="91" t="s">
        <v>161</v>
      </c>
    </row>
    <row r="44" spans="1:5" x14ac:dyDescent="0.3">
      <c r="A44" s="8"/>
      <c r="D44" s="21"/>
    </row>
    <row r="45" spans="1:5" ht="49.75" x14ac:dyDescent="0.3">
      <c r="A45" s="8">
        <v>3</v>
      </c>
      <c r="B45" s="10" t="s">
        <v>26</v>
      </c>
      <c r="C45" s="16">
        <v>1</v>
      </c>
      <c r="D45" s="21">
        <v>6000</v>
      </c>
      <c r="E45" s="79" t="s">
        <v>160</v>
      </c>
    </row>
    <row r="46" spans="1:5" ht="49.75" x14ac:dyDescent="0.3">
      <c r="A46" s="8">
        <v>3</v>
      </c>
      <c r="B46" s="29" t="s">
        <v>104</v>
      </c>
      <c r="C46" s="16">
        <v>0</v>
      </c>
      <c r="D46" s="21">
        <f>950.81*C46</f>
        <v>0</v>
      </c>
      <c r="E46" t="s">
        <v>103</v>
      </c>
    </row>
    <row r="47" spans="1:5" ht="37.299999999999997" x14ac:dyDescent="0.3">
      <c r="A47" s="8">
        <v>3</v>
      </c>
      <c r="B47" s="10" t="s">
        <v>108</v>
      </c>
      <c r="C47" s="16">
        <v>1</v>
      </c>
      <c r="D47" s="21">
        <v>4282.8100000000004</v>
      </c>
      <c r="E47" s="83" t="s">
        <v>84</v>
      </c>
    </row>
    <row r="48" spans="1:5" ht="37.299999999999997" x14ac:dyDescent="0.3">
      <c r="A48" s="8">
        <v>3</v>
      </c>
      <c r="B48" s="29" t="s">
        <v>105</v>
      </c>
      <c r="C48" s="16">
        <v>0</v>
      </c>
      <c r="D48" s="21">
        <f>1725.5*C48</f>
        <v>0</v>
      </c>
      <c r="E48" t="s">
        <v>84</v>
      </c>
    </row>
    <row r="49" spans="1:6" ht="37.299999999999997" x14ac:dyDescent="0.3">
      <c r="A49" s="8">
        <v>3</v>
      </c>
      <c r="B49" s="10" t="s">
        <v>28</v>
      </c>
      <c r="C49" s="16">
        <v>1</v>
      </c>
      <c r="D49" s="21">
        <v>1606.5</v>
      </c>
      <c r="E49" t="s">
        <v>84</v>
      </c>
    </row>
    <row r="50" spans="1:6" x14ac:dyDescent="0.3">
      <c r="A50" s="8">
        <v>3</v>
      </c>
      <c r="B50" s="10" t="s">
        <v>30</v>
      </c>
      <c r="C50" s="16">
        <v>1</v>
      </c>
      <c r="D50" s="21">
        <v>297.5</v>
      </c>
      <c r="E50" t="s">
        <v>84</v>
      </c>
      <c r="F50" s="15">
        <f>D45+D47+D49+D50</f>
        <v>12186.810000000001</v>
      </c>
    </row>
    <row r="51" spans="1:6" x14ac:dyDescent="0.3">
      <c r="A51" s="8">
        <v>3</v>
      </c>
      <c r="B51" s="10" t="s">
        <v>63</v>
      </c>
      <c r="C51" s="16">
        <v>1</v>
      </c>
      <c r="D51" s="21">
        <v>355.81</v>
      </c>
      <c r="E51" t="s">
        <v>85</v>
      </c>
      <c r="F51" s="15"/>
    </row>
    <row r="52" spans="1:6" s="26" customFormat="1" ht="17.600000000000001" x14ac:dyDescent="0.4">
      <c r="A52" s="22"/>
      <c r="B52" s="23" t="s">
        <v>83</v>
      </c>
      <c r="C52" s="24"/>
      <c r="D52" s="25">
        <f>SUM(D45:D51)</f>
        <v>12542.62</v>
      </c>
    </row>
    <row r="53" spans="1:6" x14ac:dyDescent="0.3">
      <c r="A53" s="8"/>
      <c r="D53" s="21"/>
    </row>
    <row r="54" spans="1:6" s="33" customFormat="1" ht="12.9" x14ac:dyDescent="0.35">
      <c r="A54" s="48"/>
      <c r="B54" s="28" t="s">
        <v>112</v>
      </c>
      <c r="C54" s="49"/>
      <c r="D54" s="50">
        <f>D52/A45</f>
        <v>4180.8733333333339</v>
      </c>
    </row>
    <row r="55" spans="1:6" x14ac:dyDescent="0.3">
      <c r="A55" s="8"/>
      <c r="D55" s="21"/>
    </row>
    <row r="56" spans="1:6" s="86" customFormat="1" ht="15.45" x14ac:dyDescent="0.4">
      <c r="A56" s="91" t="s">
        <v>151</v>
      </c>
    </row>
    <row r="57" spans="1:6" x14ac:dyDescent="0.3">
      <c r="A57" s="8"/>
      <c r="D57" s="21"/>
    </row>
    <row r="58" spans="1:6" ht="35.15" x14ac:dyDescent="0.4">
      <c r="A58" s="8">
        <v>10</v>
      </c>
      <c r="B58" s="40" t="s">
        <v>106</v>
      </c>
      <c r="C58" s="41"/>
      <c r="D58" s="42">
        <v>50000</v>
      </c>
    </row>
    <row r="59" spans="1:6" s="33" customFormat="1" ht="12.9" x14ac:dyDescent="0.35">
      <c r="A59" s="48"/>
      <c r="B59" s="28"/>
      <c r="C59" s="49"/>
      <c r="D59" s="50"/>
    </row>
    <row r="60" spans="1:6" s="33" customFormat="1" ht="12.9" x14ac:dyDescent="0.35">
      <c r="A60" s="48"/>
      <c r="B60" s="28" t="s">
        <v>113</v>
      </c>
      <c r="C60" s="49"/>
      <c r="D60" s="50">
        <f>D58/A58</f>
        <v>5000</v>
      </c>
    </row>
    <row r="61" spans="1:6" s="33" customFormat="1" ht="12.9" x14ac:dyDescent="0.35">
      <c r="A61" s="48"/>
      <c r="B61" s="28"/>
      <c r="C61" s="49"/>
      <c r="D61" s="50"/>
    </row>
    <row r="62" spans="1:6" ht="60.45" x14ac:dyDescent="0.5">
      <c r="A62" s="43"/>
      <c r="B62" s="45" t="s">
        <v>107</v>
      </c>
      <c r="C62" s="46"/>
      <c r="D62" s="44">
        <f>D39+D52+D58</f>
        <v>103521.67000000001</v>
      </c>
    </row>
    <row r="63" spans="1:6" s="33" customFormat="1" ht="12.9" x14ac:dyDescent="0.35">
      <c r="A63" s="48"/>
      <c r="B63" s="28"/>
      <c r="C63" s="49"/>
      <c r="D63" s="50"/>
    </row>
    <row r="64" spans="1:6" s="33" customFormat="1" ht="12.9" x14ac:dyDescent="0.35">
      <c r="A64" s="48"/>
      <c r="B64" s="28" t="s">
        <v>114</v>
      </c>
      <c r="C64" s="49"/>
      <c r="D64" s="50">
        <f>D41+D54+D60</f>
        <v>15696.239333333335</v>
      </c>
    </row>
    <row r="65" spans="1:4" s="33" customFormat="1" ht="12.9" x14ac:dyDescent="0.35">
      <c r="A65" s="48"/>
      <c r="B65" s="28"/>
      <c r="C65" s="49"/>
      <c r="D65" s="50"/>
    </row>
    <row r="66" spans="1:4" s="86" customFormat="1" ht="15.45" x14ac:dyDescent="0.4">
      <c r="A66" s="91" t="s">
        <v>128</v>
      </c>
    </row>
    <row r="67" spans="1:4" s="68" customFormat="1" ht="15.45" x14ac:dyDescent="0.4">
      <c r="A67" s="69"/>
    </row>
    <row r="68" spans="1:4" s="33" customFormat="1" ht="12.9" x14ac:dyDescent="0.35">
      <c r="A68" s="48"/>
      <c r="B68" s="28"/>
      <c r="C68" s="49"/>
      <c r="D68" s="50"/>
    </row>
    <row r="69" spans="1:4" s="33" customFormat="1" ht="25.3" x14ac:dyDescent="0.35">
      <c r="A69" s="48"/>
      <c r="B69" s="29" t="s">
        <v>129</v>
      </c>
      <c r="C69" s="57">
        <v>100000</v>
      </c>
      <c r="D69" s="50"/>
    </row>
    <row r="70" spans="1:4" s="33" customFormat="1" ht="12.9" x14ac:dyDescent="0.35">
      <c r="A70" s="48"/>
      <c r="B70" s="29"/>
      <c r="C70" s="70"/>
      <c r="D70" s="50"/>
    </row>
    <row r="71" spans="1:4" s="33" customFormat="1" ht="25.3" x14ac:dyDescent="0.35">
      <c r="A71" s="48"/>
      <c r="B71" s="29" t="s">
        <v>130</v>
      </c>
      <c r="C71" s="67">
        <v>0.03</v>
      </c>
      <c r="D71" s="50"/>
    </row>
    <row r="72" spans="1:4" s="33" customFormat="1" ht="12.9" x14ac:dyDescent="0.35">
      <c r="A72" s="48"/>
      <c r="B72" s="29"/>
      <c r="C72" s="70"/>
      <c r="D72" s="50"/>
    </row>
    <row r="73" spans="1:4" s="33" customFormat="1" ht="37.75" x14ac:dyDescent="0.35">
      <c r="A73" s="48"/>
      <c r="B73" s="29" t="s">
        <v>131</v>
      </c>
      <c r="C73" s="71">
        <v>1</v>
      </c>
      <c r="D73" s="50"/>
    </row>
    <row r="74" spans="1:4" s="33" customFormat="1" ht="12.9" x14ac:dyDescent="0.35">
      <c r="A74" s="48"/>
      <c r="B74" s="29"/>
      <c r="C74" s="70"/>
      <c r="D74" s="50"/>
    </row>
    <row r="75" spans="1:4" s="33" customFormat="1" ht="25.3" x14ac:dyDescent="0.35">
      <c r="A75" s="48"/>
      <c r="B75" s="29" t="s">
        <v>132</v>
      </c>
      <c r="C75" s="71">
        <v>10</v>
      </c>
      <c r="D75" s="50"/>
    </row>
    <row r="76" spans="1:4" s="33" customFormat="1" ht="12.9" x14ac:dyDescent="0.35">
      <c r="A76" s="48"/>
      <c r="B76" s="29"/>
      <c r="C76" s="70"/>
      <c r="D76" s="50"/>
    </row>
    <row r="77" spans="1:4" s="33" customFormat="1" ht="37.75" x14ac:dyDescent="0.35">
      <c r="A77" s="48"/>
      <c r="B77" s="29" t="s">
        <v>133</v>
      </c>
      <c r="C77" s="71">
        <v>1</v>
      </c>
      <c r="D77" s="50"/>
    </row>
    <row r="78" spans="1:4" s="33" customFormat="1" ht="12.9" x14ac:dyDescent="0.35">
      <c r="A78" s="48"/>
      <c r="B78" s="29"/>
      <c r="C78" s="70"/>
      <c r="D78" s="50"/>
    </row>
    <row r="79" spans="1:4" s="33" customFormat="1" ht="12.9" x14ac:dyDescent="0.35">
      <c r="A79" s="48"/>
      <c r="B79" s="28" t="s">
        <v>134</v>
      </c>
      <c r="C79" s="70"/>
      <c r="D79" s="50"/>
    </row>
    <row r="80" spans="1:4" x14ac:dyDescent="0.3">
      <c r="A80" s="8"/>
    </row>
    <row r="81" spans="1:1" s="86" customFormat="1" ht="15.45" x14ac:dyDescent="0.4">
      <c r="A81" s="91" t="s">
        <v>109</v>
      </c>
    </row>
    <row r="82" spans="1:1" x14ac:dyDescent="0.3">
      <c r="A82" s="8"/>
    </row>
    <row r="83" spans="1:1" x14ac:dyDescent="0.3">
      <c r="A83" s="8"/>
    </row>
    <row r="84" spans="1:1" x14ac:dyDescent="0.3">
      <c r="A84" s="8"/>
    </row>
    <row r="85" spans="1:1" x14ac:dyDescent="0.3">
      <c r="A85" s="8"/>
    </row>
    <row r="86" spans="1:1" x14ac:dyDescent="0.3">
      <c r="A86" s="8"/>
    </row>
    <row r="87" spans="1:1" x14ac:dyDescent="0.3">
      <c r="A87" s="8"/>
    </row>
    <row r="88" spans="1:1" x14ac:dyDescent="0.3">
      <c r="A88" s="8"/>
    </row>
    <row r="89" spans="1:1" x14ac:dyDescent="0.3">
      <c r="A89" s="8"/>
    </row>
    <row r="90" spans="1:1" x14ac:dyDescent="0.3">
      <c r="A90" s="8"/>
    </row>
    <row r="91" spans="1:1" x14ac:dyDescent="0.3">
      <c r="A91" s="8"/>
    </row>
    <row r="92" spans="1:1" x14ac:dyDescent="0.3">
      <c r="A92" s="8"/>
    </row>
  </sheetData>
  <mergeCells count="6">
    <mergeCell ref="A81:XFD81"/>
    <mergeCell ref="A2:XFD2"/>
    <mergeCell ref="A14:XFD14"/>
    <mergeCell ref="A43:XFD43"/>
    <mergeCell ref="A56:XFD56"/>
    <mergeCell ref="A66:XFD66"/>
  </mergeCells>
  <phoneticPr fontId="1" type="noConversion"/>
  <dataValidations count="6">
    <dataValidation type="list" allowBlank="1" showInputMessage="1" showErrorMessage="1" sqref="C48 C46" xr:uid="{00000000-0002-0000-0100-000000000000}">
      <formula1>$H$3:$H$8</formula1>
    </dataValidation>
    <dataValidation type="list" allowBlank="1" showInputMessage="1" showErrorMessage="1" sqref="B5" xr:uid="{00000000-0002-0000-0100-000001000000}">
      <formula1>$G$3:$G$13</formula1>
    </dataValidation>
    <dataValidation type="list" allowBlank="1" showInputMessage="1" showErrorMessage="1" sqref="B8:B9 B11" xr:uid="{00000000-0002-0000-0100-000002000000}">
      <formula1>$H$15:$H$26</formula1>
    </dataValidation>
    <dataValidation type="list" allowBlank="1" showInputMessage="1" showErrorMessage="1" sqref="B10" xr:uid="{00000000-0002-0000-0100-000003000000}">
      <formula1>$I$3:$I$13</formula1>
    </dataValidation>
    <dataValidation type="list" allowBlank="1" showInputMessage="1" showErrorMessage="1" sqref="B6" xr:uid="{00000000-0002-0000-0100-000004000000}">
      <formula1>$G$3:$G$7</formula1>
    </dataValidation>
    <dataValidation type="list" showInputMessage="1" showErrorMessage="1" sqref="B4" xr:uid="{00000000-0002-0000-0100-000006000000}">
      <formula1>$G$3:$G$7</formula1>
    </dataValidation>
  </dataValidations>
  <hyperlinks>
    <hyperlink ref="E47" r:id="rId1" xr:uid="{5D78F9EA-E4E6-4145-AE07-07F2E0229BA4}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ignoredErrors>
    <ignoredError sqref="C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9"/>
  <sheetViews>
    <sheetView tabSelected="1" zoomScale="145" zoomScaleNormal="145" workbookViewId="0">
      <selection activeCell="B20" sqref="B20"/>
    </sheetView>
  </sheetViews>
  <sheetFormatPr baseColWidth="10" defaultRowHeight="12.45" x14ac:dyDescent="0.3"/>
  <cols>
    <col min="1" max="1" width="27.15234375" customWidth="1"/>
    <col min="2" max="2" width="16" bestFit="1" customWidth="1"/>
  </cols>
  <sheetData>
    <row r="2" spans="1:14" s="86" customFormat="1" ht="15.45" x14ac:dyDescent="0.4">
      <c r="A2" s="86" t="s">
        <v>174</v>
      </c>
    </row>
    <row r="3" spans="1:14" x14ac:dyDescent="0.3">
      <c r="A3" s="90" t="s">
        <v>173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78"/>
    </row>
    <row r="4" spans="1:14" ht="49.75" x14ac:dyDescent="0.3">
      <c r="A4" s="14" t="s">
        <v>152</v>
      </c>
      <c r="B4" s="1">
        <f>Investitionen!B6</f>
        <v>1</v>
      </c>
    </row>
    <row r="5" spans="1:14" x14ac:dyDescent="0.3">
      <c r="A5" s="10"/>
    </row>
    <row r="6" spans="1:14" ht="37.299999999999997" x14ac:dyDescent="0.3">
      <c r="A6" s="14" t="s">
        <v>115</v>
      </c>
      <c r="B6" s="1">
        <v>1022</v>
      </c>
    </row>
    <row r="7" spans="1:14" x14ac:dyDescent="0.3">
      <c r="A7" s="10"/>
      <c r="B7" s="1"/>
    </row>
    <row r="8" spans="1:14" ht="62.15" x14ac:dyDescent="0.3">
      <c r="A8" s="14" t="s">
        <v>155</v>
      </c>
      <c r="B8" s="13">
        <v>24.11</v>
      </c>
    </row>
    <row r="9" spans="1:14" x14ac:dyDescent="0.3">
      <c r="A9" s="14"/>
      <c r="B9" s="13"/>
    </row>
    <row r="10" spans="1:14" x14ac:dyDescent="0.3">
      <c r="A10" s="14" t="s">
        <v>154</v>
      </c>
      <c r="B10" s="13">
        <v>15.55</v>
      </c>
    </row>
    <row r="11" spans="1:14" x14ac:dyDescent="0.3">
      <c r="A11" s="14"/>
      <c r="B11" s="13"/>
    </row>
    <row r="12" spans="1:14" x14ac:dyDescent="0.3">
      <c r="A12" s="14" t="s">
        <v>164</v>
      </c>
      <c r="B12" s="13">
        <f>B8+B10</f>
        <v>39.659999999999997</v>
      </c>
    </row>
    <row r="13" spans="1:14" x14ac:dyDescent="0.3">
      <c r="A13" s="10"/>
    </row>
    <row r="14" spans="1:14" ht="24.9" x14ac:dyDescent="0.3">
      <c r="A14" s="14" t="s">
        <v>158</v>
      </c>
      <c r="B14" s="1">
        <v>50</v>
      </c>
    </row>
    <row r="15" spans="1:14" x14ac:dyDescent="0.3">
      <c r="A15" s="14" t="s">
        <v>159</v>
      </c>
      <c r="B15" s="1">
        <f>B14*22.5</f>
        <v>1125</v>
      </c>
    </row>
    <row r="16" spans="1:14" x14ac:dyDescent="0.3">
      <c r="A16" s="14"/>
      <c r="B16" s="1"/>
    </row>
    <row r="17" spans="1:3" x14ac:dyDescent="0.3">
      <c r="A17" s="14" t="s">
        <v>156</v>
      </c>
      <c r="B17" s="1">
        <v>14.65</v>
      </c>
    </row>
    <row r="18" spans="1:3" x14ac:dyDescent="0.3">
      <c r="A18" s="14" t="s">
        <v>117</v>
      </c>
      <c r="B18" s="13">
        <f>B4*B6*B12+B14*15+B16*35+B17*B14</f>
        <v>42015.02</v>
      </c>
    </row>
    <row r="19" spans="1:3" x14ac:dyDescent="0.3">
      <c r="A19" s="14" t="s">
        <v>175</v>
      </c>
      <c r="B19" s="82">
        <v>17000</v>
      </c>
    </row>
    <row r="20" spans="1:3" x14ac:dyDescent="0.3">
      <c r="A20" s="14" t="s">
        <v>166</v>
      </c>
      <c r="B20" s="82">
        <f>B18+B19</f>
        <v>59015.02</v>
      </c>
    </row>
    <row r="21" spans="1:3" ht="37.299999999999997" x14ac:dyDescent="0.3">
      <c r="A21" s="14" t="s">
        <v>165</v>
      </c>
      <c r="B21" s="51">
        <v>0.1</v>
      </c>
    </row>
    <row r="22" spans="1:3" x14ac:dyDescent="0.3">
      <c r="A22" s="10"/>
    </row>
    <row r="23" spans="1:3" x14ac:dyDescent="0.3">
      <c r="A23" s="14" t="s">
        <v>118</v>
      </c>
      <c r="B23" s="13">
        <f>B20*B21</f>
        <v>5901.5020000000004</v>
      </c>
    </row>
    <row r="24" spans="1:3" x14ac:dyDescent="0.3">
      <c r="A24" s="10"/>
    </row>
    <row r="25" spans="1:3" s="1" customFormat="1" ht="35.15" x14ac:dyDescent="0.4">
      <c r="A25" s="40" t="s">
        <v>119</v>
      </c>
      <c r="B25" s="52">
        <f>B20+B23</f>
        <v>64916.521999999997</v>
      </c>
    </row>
    <row r="26" spans="1:3" x14ac:dyDescent="0.3">
      <c r="A26" s="10"/>
    </row>
    <row r="27" spans="1:3" x14ac:dyDescent="0.3">
      <c r="A27" s="10"/>
    </row>
    <row r="28" spans="1:3" ht="15.45" x14ac:dyDescent="0.4">
      <c r="A28" s="92" t="s">
        <v>120</v>
      </c>
      <c r="B28" s="86"/>
      <c r="C28" s="86"/>
    </row>
    <row r="29" spans="1:3" x14ac:dyDescent="0.3">
      <c r="A29" s="10"/>
    </row>
  </sheetData>
  <mergeCells count="3">
    <mergeCell ref="A2:XFD2"/>
    <mergeCell ref="A28:C28"/>
    <mergeCell ref="A3:M3"/>
  </mergeCells>
  <phoneticPr fontId="1" type="noConversion"/>
  <hyperlinks>
    <hyperlink ref="A3" r:id="rId1" xr:uid="{B6A07BE6-C9D7-4968-9425-689E052C0EE3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2"/>
  <sheetViews>
    <sheetView topLeftCell="A22" zoomScale="175" zoomScaleNormal="175" workbookViewId="0">
      <selection activeCell="B42" sqref="B42"/>
    </sheetView>
  </sheetViews>
  <sheetFormatPr baseColWidth="10" defaultColWidth="11.3828125" defaultRowHeight="12.45" x14ac:dyDescent="0.3"/>
  <cols>
    <col min="1" max="1" width="34.15234375" style="53" bestFit="1" customWidth="1"/>
    <col min="2" max="2" width="15.84375" style="16" customWidth="1"/>
    <col min="3" max="3" width="16" style="16" bestFit="1" customWidth="1"/>
    <col min="4" max="4" width="17.69140625" style="58" bestFit="1" customWidth="1"/>
    <col min="5" max="5" width="11.3828125" style="55"/>
    <col min="6" max="16384" width="11.3828125" style="47"/>
  </cols>
  <sheetData>
    <row r="2" spans="1:8" s="30" customFormat="1" ht="15.45" x14ac:dyDescent="0.4">
      <c r="A2" s="68" t="s">
        <v>122</v>
      </c>
    </row>
    <row r="3" spans="1:8" s="2" customFormat="1" x14ac:dyDescent="0.3">
      <c r="B3" s="11"/>
      <c r="C3" s="11"/>
      <c r="D3" s="11"/>
    </row>
    <row r="4" spans="1:8" s="2" customFormat="1" x14ac:dyDescent="0.3">
      <c r="B4" s="11"/>
      <c r="C4" s="11"/>
      <c r="D4" s="11"/>
    </row>
    <row r="5" spans="1:8" x14ac:dyDescent="0.3">
      <c r="B5" s="11"/>
      <c r="C5" s="11"/>
      <c r="D5" s="57"/>
      <c r="E5" s="2"/>
      <c r="F5" s="2"/>
      <c r="G5" s="2"/>
      <c r="H5" s="2"/>
    </row>
    <row r="6" spans="1:8" s="2" customFormat="1" x14ac:dyDescent="0.3">
      <c r="A6" s="54"/>
      <c r="B6" s="11" t="s">
        <v>50</v>
      </c>
      <c r="C6" s="11" t="s">
        <v>121</v>
      </c>
      <c r="D6" s="57" t="s">
        <v>51</v>
      </c>
      <c r="E6" s="17"/>
    </row>
    <row r="7" spans="1:8" s="2" customFormat="1" x14ac:dyDescent="0.3">
      <c r="A7" s="2" t="s">
        <v>37</v>
      </c>
      <c r="B7" s="11"/>
      <c r="C7" s="11"/>
      <c r="D7" s="11"/>
    </row>
    <row r="9" spans="1:8" x14ac:dyDescent="0.3">
      <c r="A9" s="53" t="s">
        <v>38</v>
      </c>
      <c r="B9" s="58">
        <f>C9/3</f>
        <v>19671.673333333332</v>
      </c>
      <c r="C9" s="58">
        <f>Abrechnung!B20</f>
        <v>59015.02</v>
      </c>
      <c r="D9" s="58">
        <f>C9*4</f>
        <v>236060.08</v>
      </c>
    </row>
    <row r="10" spans="1:8" x14ac:dyDescent="0.3">
      <c r="A10" s="53" t="s">
        <v>39</v>
      </c>
      <c r="B10" s="58">
        <f>C10/3</f>
        <v>1967.1673333333335</v>
      </c>
      <c r="C10" s="58">
        <f>Abrechnung!B23</f>
        <v>5901.5020000000004</v>
      </c>
      <c r="D10" s="58">
        <f>C10*4</f>
        <v>23606.008000000002</v>
      </c>
    </row>
    <row r="11" spans="1:8" x14ac:dyDescent="0.3">
      <c r="B11" s="58"/>
      <c r="C11" s="58"/>
    </row>
    <row r="12" spans="1:8" s="2" customFormat="1" x14ac:dyDescent="0.3">
      <c r="A12" s="54" t="s">
        <v>40</v>
      </c>
      <c r="B12" s="57">
        <f>SUM(B9:B10)</f>
        <v>21638.840666666667</v>
      </c>
      <c r="C12" s="57">
        <f>SUM(C9:C10)</f>
        <v>64916.521999999997</v>
      </c>
      <c r="D12" s="57">
        <f>SUM(D9:D10)</f>
        <v>259666.08799999999</v>
      </c>
      <c r="E12" s="17"/>
    </row>
    <row r="13" spans="1:8" x14ac:dyDescent="0.3">
      <c r="B13" s="58"/>
      <c r="C13" s="58"/>
    </row>
    <row r="14" spans="1:8" s="2" customFormat="1" x14ac:dyDescent="0.3">
      <c r="A14" s="2" t="s">
        <v>41</v>
      </c>
      <c r="B14" s="57"/>
      <c r="C14" s="57"/>
      <c r="D14" s="57"/>
    </row>
    <row r="15" spans="1:8" x14ac:dyDescent="0.3">
      <c r="B15" s="58"/>
      <c r="C15" s="58"/>
    </row>
    <row r="16" spans="1:8" x14ac:dyDescent="0.3">
      <c r="A16" s="53" t="s">
        <v>42</v>
      </c>
      <c r="B16" s="60">
        <f>Start!B63</f>
        <v>5064.2376250000007</v>
      </c>
      <c r="C16" s="60">
        <f>B16*3</f>
        <v>15192.712875000001</v>
      </c>
      <c r="D16" s="58">
        <f>C16*4</f>
        <v>60770.851500000004</v>
      </c>
      <c r="E16" s="56"/>
      <c r="F16" s="56"/>
      <c r="G16" s="56"/>
      <c r="H16" s="56"/>
    </row>
    <row r="17" spans="1:8" x14ac:dyDescent="0.3">
      <c r="A17" s="53" t="s">
        <v>126</v>
      </c>
      <c r="B17" s="58">
        <f>D17/12</f>
        <v>221.545993542437</v>
      </c>
      <c r="C17" s="60">
        <f>D17/4</f>
        <v>664.63798062731098</v>
      </c>
      <c r="D17" s="58">
        <f>Darlehen!B13</f>
        <v>2658.5519225092439</v>
      </c>
      <c r="E17" s="56"/>
      <c r="F17" s="56"/>
      <c r="G17" s="56"/>
      <c r="H17" s="56"/>
    </row>
    <row r="18" spans="1:8" x14ac:dyDescent="0.3">
      <c r="A18" s="53" t="s">
        <v>123</v>
      </c>
      <c r="B18" s="58">
        <f>Investitionen!B12</f>
        <v>960</v>
      </c>
      <c r="C18" s="60">
        <f t="shared" ref="C18:C24" si="0">B18*3</f>
        <v>2880</v>
      </c>
      <c r="D18" s="58">
        <f t="shared" ref="D18:D24" si="1">C18*4</f>
        <v>11520</v>
      </c>
      <c r="E18" s="56"/>
      <c r="F18" s="56"/>
      <c r="G18" s="56"/>
      <c r="H18" s="56"/>
    </row>
    <row r="19" spans="1:8" x14ac:dyDescent="0.3">
      <c r="A19" s="53" t="s">
        <v>43</v>
      </c>
      <c r="B19" s="58">
        <v>400</v>
      </c>
      <c r="C19" s="60">
        <f t="shared" si="0"/>
        <v>1200</v>
      </c>
      <c r="D19" s="58">
        <f t="shared" si="1"/>
        <v>4800</v>
      </c>
      <c r="E19" s="56"/>
      <c r="F19" s="56"/>
      <c r="G19" s="56"/>
      <c r="H19" s="56"/>
    </row>
    <row r="20" spans="1:8" x14ac:dyDescent="0.3">
      <c r="A20" s="53" t="s">
        <v>124</v>
      </c>
      <c r="B20" s="58">
        <f>Darlehen!I8</f>
        <v>279.8</v>
      </c>
      <c r="C20" s="60">
        <f t="shared" si="0"/>
        <v>839.40000000000009</v>
      </c>
      <c r="D20" s="58">
        <f t="shared" si="1"/>
        <v>3357.6000000000004</v>
      </c>
      <c r="E20" s="56"/>
      <c r="F20" s="56"/>
      <c r="G20" s="56"/>
      <c r="H20" s="56"/>
    </row>
    <row r="21" spans="1:8" x14ac:dyDescent="0.3">
      <c r="A21" s="53" t="s">
        <v>44</v>
      </c>
      <c r="B21" s="58">
        <v>500</v>
      </c>
      <c r="C21" s="60">
        <f t="shared" si="0"/>
        <v>1500</v>
      </c>
      <c r="D21" s="58">
        <f t="shared" si="1"/>
        <v>6000</v>
      </c>
      <c r="E21" s="56"/>
      <c r="F21" s="56"/>
      <c r="G21" s="56"/>
      <c r="H21" s="56"/>
    </row>
    <row r="22" spans="1:8" x14ac:dyDescent="0.3">
      <c r="A22" s="53" t="s">
        <v>45</v>
      </c>
      <c r="B22" s="58"/>
      <c r="C22" s="60">
        <f t="shared" si="0"/>
        <v>0</v>
      </c>
      <c r="D22" s="58">
        <f t="shared" si="1"/>
        <v>0</v>
      </c>
      <c r="E22" s="56"/>
      <c r="F22" s="56"/>
      <c r="G22" s="56"/>
      <c r="H22" s="56"/>
    </row>
    <row r="23" spans="1:8" x14ac:dyDescent="0.3">
      <c r="A23" s="53" t="s">
        <v>46</v>
      </c>
      <c r="B23" s="58">
        <f>Investitionen!D64/12</f>
        <v>1308.0199444444445</v>
      </c>
      <c r="C23" s="60">
        <f t="shared" si="0"/>
        <v>3924.0598333333337</v>
      </c>
      <c r="D23" s="58">
        <f t="shared" si="1"/>
        <v>15696.239333333335</v>
      </c>
      <c r="E23" s="56"/>
      <c r="F23" s="56"/>
      <c r="G23" s="56"/>
      <c r="H23" s="56"/>
    </row>
    <row r="24" spans="1:8" x14ac:dyDescent="0.3">
      <c r="A24" s="53" t="s">
        <v>47</v>
      </c>
      <c r="B24" s="58"/>
      <c r="C24" s="60">
        <f t="shared" si="0"/>
        <v>0</v>
      </c>
      <c r="D24" s="58">
        <f t="shared" si="1"/>
        <v>0</v>
      </c>
      <c r="E24" s="56"/>
      <c r="F24" s="56"/>
      <c r="G24" s="56"/>
      <c r="H24" s="56"/>
    </row>
    <row r="25" spans="1:8" x14ac:dyDescent="0.3">
      <c r="B25" s="58"/>
      <c r="C25" s="60"/>
      <c r="E25" s="56"/>
      <c r="F25" s="56"/>
      <c r="G25" s="56"/>
      <c r="H25" s="56"/>
    </row>
    <row r="26" spans="1:8" s="2" customFormat="1" x14ac:dyDescent="0.3">
      <c r="A26" s="54" t="s">
        <v>48</v>
      </c>
      <c r="B26" s="57">
        <f>SUM(B16:B24)</f>
        <v>8733.603562986882</v>
      </c>
      <c r="C26" s="57">
        <f>B26*3</f>
        <v>26200.810688960646</v>
      </c>
      <c r="D26" s="57">
        <f>C26*4</f>
        <v>104803.24275584258</v>
      </c>
      <c r="E26" s="63"/>
      <c r="F26" s="63"/>
      <c r="G26" s="63"/>
      <c r="H26" s="63"/>
    </row>
    <row r="27" spans="1:8" x14ac:dyDescent="0.3">
      <c r="B27" s="58"/>
      <c r="C27" s="58"/>
      <c r="E27" s="56"/>
      <c r="F27" s="56"/>
      <c r="G27" s="56"/>
      <c r="H27" s="56"/>
    </row>
    <row r="28" spans="1:8" s="2" customFormat="1" ht="24.9" x14ac:dyDescent="0.3">
      <c r="A28" s="73" t="s">
        <v>176</v>
      </c>
      <c r="B28" s="57">
        <f>B12-B26</f>
        <v>12905.237103679785</v>
      </c>
      <c r="C28" s="57">
        <f>B28*3</f>
        <v>38715.711311039355</v>
      </c>
      <c r="D28" s="57">
        <f>C28*4</f>
        <v>154862.84524415742</v>
      </c>
      <c r="E28" s="63"/>
      <c r="F28" s="63"/>
      <c r="G28" s="63"/>
      <c r="H28" s="63"/>
    </row>
    <row r="29" spans="1:8" s="2" customFormat="1" x14ac:dyDescent="0.3">
      <c r="A29" s="54"/>
      <c r="B29" s="57"/>
      <c r="C29" s="57"/>
      <c r="D29" s="57"/>
      <c r="E29" s="63"/>
      <c r="F29" s="63"/>
      <c r="G29" s="63"/>
      <c r="H29" s="63"/>
    </row>
    <row r="30" spans="1:8" s="2" customFormat="1" ht="62.15" x14ac:dyDescent="0.3">
      <c r="A30" s="73" t="s">
        <v>148</v>
      </c>
      <c r="B30" s="57">
        <f>D30/12</f>
        <v>5390.833333333333</v>
      </c>
      <c r="C30" s="57">
        <f>D30/4</f>
        <v>16172.5</v>
      </c>
      <c r="D30" s="80">
        <v>64690</v>
      </c>
      <c r="E30" s="63"/>
      <c r="F30" s="63"/>
      <c r="G30" s="63"/>
      <c r="H30" s="63"/>
    </row>
    <row r="31" spans="1:8" x14ac:dyDescent="0.3">
      <c r="A31" s="94" t="s">
        <v>163</v>
      </c>
      <c r="B31" s="85"/>
      <c r="C31" s="77"/>
      <c r="D31" s="77"/>
      <c r="E31" s="56"/>
      <c r="F31" s="56"/>
      <c r="G31" s="56"/>
      <c r="H31" s="56"/>
    </row>
    <row r="32" spans="1:8" x14ac:dyDescent="0.3">
      <c r="A32" s="74"/>
      <c r="B32" s="77"/>
      <c r="C32" s="77"/>
      <c r="D32" s="77"/>
      <c r="E32" s="56"/>
      <c r="F32" s="56"/>
      <c r="G32" s="56"/>
      <c r="H32" s="56"/>
    </row>
    <row r="33" spans="1:8" s="39" customFormat="1" x14ac:dyDescent="0.3">
      <c r="A33" s="61" t="s">
        <v>49</v>
      </c>
      <c r="B33" s="60">
        <f>B23</f>
        <v>1308.0199444444445</v>
      </c>
      <c r="C33" s="60">
        <f>B33*3</f>
        <v>3924.0598333333337</v>
      </c>
      <c r="D33" s="60">
        <f>C33*4</f>
        <v>15696.239333333335</v>
      </c>
      <c r="E33" s="62"/>
      <c r="F33" s="62"/>
      <c r="G33" s="62"/>
      <c r="H33" s="62"/>
    </row>
    <row r="34" spans="1:8" x14ac:dyDescent="0.3">
      <c r="A34" s="53" t="s">
        <v>149</v>
      </c>
      <c r="B34" s="58">
        <f>D34/12</f>
        <v>726.9208883763298</v>
      </c>
      <c r="C34" s="58">
        <f>D34/4</f>
        <v>2180.7626651289893</v>
      </c>
      <c r="D34" s="58">
        <f>Darlehen!C13</f>
        <v>8723.0506605159571</v>
      </c>
      <c r="E34" s="56"/>
      <c r="F34" s="56"/>
      <c r="G34" s="56"/>
      <c r="H34" s="56"/>
    </row>
    <row r="35" spans="1:8" x14ac:dyDescent="0.3">
      <c r="B35" s="58"/>
      <c r="C35" s="58"/>
      <c r="E35" s="56"/>
      <c r="F35" s="56"/>
      <c r="G35" s="56"/>
      <c r="H35" s="56"/>
    </row>
    <row r="36" spans="1:8" s="19" customFormat="1" ht="35.15" x14ac:dyDescent="0.4">
      <c r="A36" s="81" t="s">
        <v>177</v>
      </c>
      <c r="B36" s="64">
        <f>B28-B30+B33-B34</f>
        <v>8095.5028264145676</v>
      </c>
      <c r="C36" s="64">
        <f>B36*3</f>
        <v>24286.508479243705</v>
      </c>
      <c r="D36" s="64">
        <f>C36*4</f>
        <v>97146.033916974819</v>
      </c>
      <c r="E36" s="66"/>
      <c r="F36" s="75"/>
      <c r="G36" s="66"/>
      <c r="H36" s="66"/>
    </row>
    <row r="37" spans="1:8" x14ac:dyDescent="0.3">
      <c r="B37" s="59"/>
      <c r="C37" s="59"/>
      <c r="D37" s="59"/>
    </row>
    <row r="38" spans="1:8" x14ac:dyDescent="0.3">
      <c r="A38" s="76"/>
      <c r="B38" s="59"/>
      <c r="C38" s="59"/>
      <c r="D38" s="59"/>
    </row>
    <row r="39" spans="1:8" ht="17.600000000000001" x14ac:dyDescent="0.4">
      <c r="A39" s="65"/>
      <c r="B39" s="59"/>
      <c r="C39" s="59"/>
      <c r="D39" s="59"/>
    </row>
    <row r="40" spans="1:8" x14ac:dyDescent="0.3">
      <c r="B40" s="59"/>
      <c r="C40" s="59"/>
      <c r="D40" s="59"/>
    </row>
    <row r="41" spans="1:8" x14ac:dyDescent="0.3">
      <c r="B41" s="59"/>
      <c r="C41" s="59"/>
      <c r="D41" s="59"/>
    </row>
    <row r="42" spans="1:8" x14ac:dyDescent="0.3">
      <c r="B42" s="59"/>
      <c r="C42" s="59"/>
      <c r="D42" s="59"/>
    </row>
  </sheetData>
  <mergeCells count="1">
    <mergeCell ref="A31:B31"/>
  </mergeCells>
  <phoneticPr fontId="1" type="noConversion"/>
  <hyperlinks>
    <hyperlink ref="A31" r:id="rId1" xr:uid="{00000000-0004-0000-03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ignoredErrors>
    <ignoredError sqref="C17:D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activeCell="B30" sqref="B30"/>
    </sheetView>
  </sheetViews>
  <sheetFormatPr baseColWidth="10" defaultRowHeight="12.45" x14ac:dyDescent="0.3"/>
  <cols>
    <col min="1" max="1" width="22.53515625" bestFit="1" customWidth="1"/>
    <col min="2" max="2" width="11.69140625" style="3" bestFit="1" customWidth="1"/>
    <col min="5" max="5" width="11.69140625" bestFit="1" customWidth="1"/>
    <col min="8" max="8" width="24.3046875" customWidth="1"/>
  </cols>
  <sheetData>
    <row r="1" spans="1:9" x14ac:dyDescent="0.3">
      <c r="A1" s="3">
        <f>Investitionen!C69</f>
        <v>100000</v>
      </c>
      <c r="B1" t="s">
        <v>135</v>
      </c>
    </row>
    <row r="2" spans="1:9" x14ac:dyDescent="0.3">
      <c r="A2" s="3">
        <v>0</v>
      </c>
      <c r="B2" t="s">
        <v>136</v>
      </c>
      <c r="H2" t="s">
        <v>137</v>
      </c>
      <c r="I2" s="3"/>
    </row>
    <row r="3" spans="1:9" x14ac:dyDescent="0.3">
      <c r="A3" s="72">
        <f>Investitionen!C71</f>
        <v>0.03</v>
      </c>
      <c r="B3" t="s">
        <v>138</v>
      </c>
      <c r="I3" s="3"/>
    </row>
    <row r="4" spans="1:9" x14ac:dyDescent="0.3">
      <c r="A4" s="31">
        <f>Investitionen!C73</f>
        <v>1</v>
      </c>
      <c r="B4" t="s">
        <v>139</v>
      </c>
      <c r="I4" s="3"/>
    </row>
    <row r="5" spans="1:9" x14ac:dyDescent="0.3">
      <c r="A5" s="31">
        <f>Investitionen!C75</f>
        <v>10</v>
      </c>
      <c r="B5" t="s">
        <v>140</v>
      </c>
      <c r="H5" t="s">
        <v>27</v>
      </c>
      <c r="I5" s="3">
        <v>114.9</v>
      </c>
    </row>
    <row r="6" spans="1:9" x14ac:dyDescent="0.3">
      <c r="A6" s="31">
        <f>Investitionen!C77</f>
        <v>1</v>
      </c>
      <c r="B6" t="s">
        <v>141</v>
      </c>
      <c r="H6" t="s">
        <v>29</v>
      </c>
      <c r="I6" s="3">
        <v>25</v>
      </c>
    </row>
    <row r="7" spans="1:9" x14ac:dyDescent="0.3">
      <c r="H7" t="s">
        <v>125</v>
      </c>
      <c r="I7" s="3">
        <f>SUM(I5:I6)</f>
        <v>139.9</v>
      </c>
    </row>
    <row r="8" spans="1:9" x14ac:dyDescent="0.3">
      <c r="H8" t="s">
        <v>142</v>
      </c>
      <c r="I8" s="3">
        <f>SUM(I5:I7)</f>
        <v>279.8</v>
      </c>
    </row>
    <row r="10" spans="1:9" s="1" customFormat="1" x14ac:dyDescent="0.3">
      <c r="A10" s="1" t="s">
        <v>143</v>
      </c>
      <c r="B10" s="13" t="s">
        <v>144</v>
      </c>
      <c r="C10" s="1" t="s">
        <v>145</v>
      </c>
      <c r="D10" s="1" t="s">
        <v>146</v>
      </c>
      <c r="E10" s="1" t="s">
        <v>147</v>
      </c>
    </row>
    <row r="12" spans="1:9" x14ac:dyDescent="0.3">
      <c r="B12" s="72"/>
      <c r="E12" s="3">
        <f>A1</f>
        <v>100000</v>
      </c>
    </row>
    <row r="13" spans="1:9" x14ac:dyDescent="0.3">
      <c r="A13">
        <v>1</v>
      </c>
      <c r="B13" s="3">
        <f>IF(A13="","",(E12-IF(A$6=1,D13,0))*A$3/A$4)</f>
        <v>2658.5519225092439</v>
      </c>
      <c r="C13" s="3">
        <f>IF(A13="","",D13-B13)</f>
        <v>8723.0506605159571</v>
      </c>
      <c r="D13" s="3">
        <f>((A1-A2)*A3/(1-(A4/(A4+A3))^(A4*A5))+A2*A3)/A4*A4/(A4+(A6=1)*A3)</f>
        <v>11381.6025830252</v>
      </c>
      <c r="E13" s="3">
        <f>IF(A13="","",E12-C13)</f>
        <v>91276.949339484039</v>
      </c>
    </row>
    <row r="14" spans="1:9" x14ac:dyDescent="0.3">
      <c r="A14">
        <f>IF(OR(A13="",A13&gt;=A$4*A$5),"",A13+1)</f>
        <v>2</v>
      </c>
      <c r="B14" s="3">
        <f t="shared" ref="B14:B22" si="0">IF(A14="","",(E13-IF(A$6=1,D14,0))*A$3/A$4)</f>
        <v>2396.8604026937651</v>
      </c>
      <c r="C14" s="3">
        <f t="shared" ref="C14:C22" si="1">IF(A14="","",D14-B14)</f>
        <v>8984.7421803314355</v>
      </c>
      <c r="D14" s="3">
        <f>IF(A14="","",D13)</f>
        <v>11381.6025830252</v>
      </c>
      <c r="E14" s="3">
        <f t="shared" ref="E14:E22" si="2">IF(A14="","",E13-C14)</f>
        <v>82292.207159152604</v>
      </c>
    </row>
    <row r="15" spans="1:9" x14ac:dyDescent="0.3">
      <c r="A15">
        <f t="shared" ref="A15:A22" si="3">IF(OR(A14="",A14&gt;=A$4*A$5),"",A14+1)</f>
        <v>3</v>
      </c>
      <c r="B15" s="3">
        <f t="shared" si="0"/>
        <v>2127.3181372838221</v>
      </c>
      <c r="C15" s="3">
        <f t="shared" si="1"/>
        <v>9254.2844457413776</v>
      </c>
      <c r="D15" s="3">
        <f t="shared" ref="D15:D22" si="4">IF(A15="","",D14)</f>
        <v>11381.6025830252</v>
      </c>
      <c r="E15" s="3">
        <f t="shared" si="2"/>
        <v>73037.92271341123</v>
      </c>
    </row>
    <row r="16" spans="1:9" x14ac:dyDescent="0.3">
      <c r="A16">
        <f t="shared" si="3"/>
        <v>4</v>
      </c>
      <c r="B16" s="3">
        <f t="shared" si="0"/>
        <v>1849.6896039115807</v>
      </c>
      <c r="C16" s="3">
        <f t="shared" si="1"/>
        <v>9531.9129791136202</v>
      </c>
      <c r="D16" s="3">
        <f t="shared" si="4"/>
        <v>11381.6025830252</v>
      </c>
      <c r="E16" s="3">
        <f t="shared" si="2"/>
        <v>63506.009734297608</v>
      </c>
    </row>
    <row r="17" spans="1:5" x14ac:dyDescent="0.3">
      <c r="A17">
        <f t="shared" si="3"/>
        <v>5</v>
      </c>
      <c r="B17" s="3">
        <f t="shared" si="0"/>
        <v>1563.732214538172</v>
      </c>
      <c r="C17" s="3">
        <f t="shared" si="1"/>
        <v>9817.8703684870288</v>
      </c>
      <c r="D17" s="3">
        <f t="shared" si="4"/>
        <v>11381.6025830252</v>
      </c>
      <c r="E17" s="3">
        <f t="shared" si="2"/>
        <v>53688.139365810581</v>
      </c>
    </row>
    <row r="18" spans="1:5" x14ac:dyDescent="0.3">
      <c r="A18">
        <f t="shared" si="3"/>
        <v>6</v>
      </c>
      <c r="B18" s="3">
        <f t="shared" si="0"/>
        <v>1269.1961034835613</v>
      </c>
      <c r="C18" s="3">
        <f t="shared" si="1"/>
        <v>10112.406479541638</v>
      </c>
      <c r="D18" s="3">
        <f t="shared" si="4"/>
        <v>11381.6025830252</v>
      </c>
      <c r="E18" s="3">
        <f t="shared" si="2"/>
        <v>43575.732886268946</v>
      </c>
    </row>
    <row r="19" spans="1:5" x14ac:dyDescent="0.3">
      <c r="A19">
        <f t="shared" si="3"/>
        <v>7</v>
      </c>
      <c r="B19" s="3">
        <f t="shared" si="0"/>
        <v>965.82390909731237</v>
      </c>
      <c r="C19" s="3">
        <f t="shared" si="1"/>
        <v>10415.778673927887</v>
      </c>
      <c r="D19" s="3">
        <f t="shared" si="4"/>
        <v>11381.6025830252</v>
      </c>
      <c r="E19" s="3">
        <f t="shared" si="2"/>
        <v>33159.954212341057</v>
      </c>
    </row>
    <row r="20" spans="1:5" x14ac:dyDescent="0.3">
      <c r="A20">
        <f t="shared" si="3"/>
        <v>8</v>
      </c>
      <c r="B20" s="3">
        <f t="shared" si="0"/>
        <v>653.3505488794757</v>
      </c>
      <c r="C20" s="3">
        <f t="shared" si="1"/>
        <v>10728.252034145724</v>
      </c>
      <c r="D20" s="3">
        <f t="shared" si="4"/>
        <v>11381.6025830252</v>
      </c>
      <c r="E20" s="3">
        <f t="shared" si="2"/>
        <v>22431.702178195334</v>
      </c>
    </row>
    <row r="21" spans="1:5" x14ac:dyDescent="0.3">
      <c r="A21">
        <f t="shared" si="3"/>
        <v>9</v>
      </c>
      <c r="B21" s="3">
        <f t="shared" si="0"/>
        <v>331.50298785510398</v>
      </c>
      <c r="C21" s="3">
        <f t="shared" si="1"/>
        <v>11050.099595170097</v>
      </c>
      <c r="D21" s="3">
        <f t="shared" si="4"/>
        <v>11381.6025830252</v>
      </c>
      <c r="E21" s="3">
        <f t="shared" si="2"/>
        <v>11381.602583025237</v>
      </c>
    </row>
    <row r="22" spans="1:5" x14ac:dyDescent="0.3">
      <c r="A22">
        <f t="shared" si="3"/>
        <v>10</v>
      </c>
      <c r="B22" s="3">
        <f t="shared" si="0"/>
        <v>1.0913936421275138E-12</v>
      </c>
      <c r="C22" s="3">
        <f t="shared" si="1"/>
        <v>11381.602583025198</v>
      </c>
      <c r="D22" s="3">
        <f t="shared" si="4"/>
        <v>11381.6025830252</v>
      </c>
      <c r="E22" s="3">
        <f t="shared" si="2"/>
        <v>3.8198777474462986E-11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Start</vt:lpstr>
      <vt:lpstr>Investitionen</vt:lpstr>
      <vt:lpstr>Abrechnung</vt:lpstr>
      <vt:lpstr>BWA</vt:lpstr>
      <vt:lpstr>Darlehen</vt:lpstr>
    </vt:vector>
  </TitlesOfParts>
  <Company>UKL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Lippmann</dc:creator>
  <cp:lastModifiedBy>Stefan</cp:lastModifiedBy>
  <cp:lastPrinted>2013-07-26T06:43:50Z</cp:lastPrinted>
  <dcterms:created xsi:type="dcterms:W3CDTF">2013-07-25T11:26:53Z</dcterms:created>
  <dcterms:modified xsi:type="dcterms:W3CDTF">2022-02-24T13:05:03Z</dcterms:modified>
</cp:coreProperties>
</file>